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CWC Git Repository\fluids-control-hw\mechanics\Fishtank V1.4 Release\XX_Website Data\"/>
    </mc:Choice>
  </mc:AlternateContent>
  <xr:revisionPtr revIDLastSave="0" documentId="13_ncr:1_{881960A2-807A-48E9-88CF-895453FB8EBA}" xr6:coauthVersionLast="47" xr6:coauthVersionMax="47" xr10:uidLastSave="{00000000-0000-0000-0000-000000000000}"/>
  <bookViews>
    <workbookView xWindow="-120" yWindow="-120" windowWidth="38640" windowHeight="21120" tabRatio="718" xr2:uid="{979BDA0F-2FFE-4C04-B832-37CBEE952B3A}"/>
  </bookViews>
  <sheets>
    <sheet name="BoM indented" sheetId="20" r:id="rId1"/>
    <sheet name="List of Standard Pa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2" l="1"/>
  <c r="F181" i="2"/>
  <c r="C180" i="2"/>
  <c r="D180" i="2"/>
  <c r="C181" i="2"/>
  <c r="C182" i="2"/>
  <c r="G216" i="20"/>
  <c r="H216" i="20"/>
  <c r="K216" i="20"/>
  <c r="L216" i="20"/>
  <c r="P216" i="20"/>
  <c r="G215" i="20"/>
  <c r="H215" i="20"/>
  <c r="K215" i="20"/>
  <c r="L215" i="20"/>
  <c r="P215" i="20"/>
  <c r="H214" i="20"/>
  <c r="K214" i="20"/>
  <c r="L214" i="20"/>
  <c r="P214" i="20"/>
  <c r="H213" i="20"/>
  <c r="K213" i="20"/>
  <c r="L213" i="20"/>
  <c r="P213" i="20"/>
  <c r="G212" i="20"/>
  <c r="H212" i="20"/>
  <c r="L212" i="20"/>
  <c r="P212" i="20"/>
  <c r="G211" i="20"/>
  <c r="H211" i="20"/>
  <c r="K211" i="20"/>
  <c r="L211" i="20"/>
  <c r="P211" i="20"/>
  <c r="G210" i="20"/>
  <c r="H210" i="20"/>
  <c r="J210" i="20"/>
  <c r="K210" i="20"/>
  <c r="L210" i="20"/>
  <c r="P210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3" i="20"/>
  <c r="P194" i="20"/>
  <c r="P195" i="20"/>
  <c r="P196" i="20"/>
  <c r="P197" i="20"/>
  <c r="P198" i="20"/>
  <c r="P199" i="20"/>
  <c r="P200" i="20"/>
  <c r="P201" i="20"/>
  <c r="P202" i="20"/>
  <c r="P203" i="20"/>
  <c r="P204" i="20"/>
  <c r="P205" i="20"/>
  <c r="P206" i="20"/>
  <c r="P207" i="20"/>
  <c r="P208" i="20"/>
  <c r="P209" i="20"/>
  <c r="P174" i="20"/>
  <c r="J174" i="20"/>
  <c r="H209" i="20"/>
  <c r="G209" i="20"/>
  <c r="D179" i="2"/>
  <c r="C179" i="2"/>
  <c r="D178" i="2"/>
  <c r="C178" i="2"/>
  <c r="K209" i="20"/>
  <c r="L209" i="20"/>
  <c r="G208" i="20"/>
  <c r="H208" i="20"/>
  <c r="K208" i="20"/>
  <c r="L208" i="20"/>
  <c r="G207" i="20"/>
  <c r="H207" i="20"/>
  <c r="K207" i="20"/>
  <c r="L207" i="20"/>
  <c r="G206" i="20"/>
  <c r="H206" i="20"/>
  <c r="K206" i="20"/>
  <c r="L206" i="20"/>
  <c r="G205" i="20"/>
  <c r="H205" i="20"/>
  <c r="K205" i="20"/>
  <c r="L205" i="20"/>
  <c r="G204" i="20"/>
  <c r="H204" i="20"/>
  <c r="K204" i="20"/>
  <c r="L204" i="20"/>
  <c r="G203" i="20"/>
  <c r="H203" i="20"/>
  <c r="K203" i="20"/>
  <c r="L203" i="20"/>
  <c r="G202" i="20"/>
  <c r="H202" i="20"/>
  <c r="K202" i="20"/>
  <c r="L202" i="20"/>
  <c r="G201" i="20"/>
  <c r="H201" i="20"/>
  <c r="K201" i="20"/>
  <c r="L201" i="20"/>
  <c r="G200" i="20"/>
  <c r="H200" i="20"/>
  <c r="K200" i="20"/>
  <c r="L200" i="20"/>
  <c r="G199" i="20"/>
  <c r="H199" i="20"/>
  <c r="K199" i="20"/>
  <c r="L199" i="20"/>
  <c r="G198" i="20"/>
  <c r="H198" i="20"/>
  <c r="K198" i="20"/>
  <c r="L198" i="20"/>
  <c r="G197" i="20"/>
  <c r="H197" i="20"/>
  <c r="K197" i="20"/>
  <c r="L197" i="20"/>
  <c r="G196" i="20"/>
  <c r="H196" i="20"/>
  <c r="K196" i="20"/>
  <c r="L196" i="20"/>
  <c r="G195" i="20"/>
  <c r="H195" i="20"/>
  <c r="K195" i="20"/>
  <c r="L195" i="20"/>
  <c r="G194" i="20"/>
  <c r="H194" i="20"/>
  <c r="K194" i="20"/>
  <c r="L194" i="20"/>
  <c r="G193" i="20"/>
  <c r="H193" i="20"/>
  <c r="K193" i="20"/>
  <c r="L193" i="20"/>
  <c r="G192" i="20"/>
  <c r="H192" i="20"/>
  <c r="K192" i="20"/>
  <c r="L192" i="20"/>
  <c r="G191" i="20"/>
  <c r="H191" i="20"/>
  <c r="K191" i="20"/>
  <c r="L191" i="20"/>
  <c r="G190" i="20"/>
  <c r="H190" i="20"/>
  <c r="K190" i="20"/>
  <c r="L190" i="20"/>
  <c r="G189" i="20"/>
  <c r="H189" i="20"/>
  <c r="K189" i="20"/>
  <c r="L189" i="20"/>
  <c r="G188" i="20"/>
  <c r="H188" i="20"/>
  <c r="K188" i="20"/>
  <c r="L188" i="20"/>
  <c r="G187" i="20"/>
  <c r="H187" i="20"/>
  <c r="K187" i="20"/>
  <c r="L187" i="20"/>
  <c r="G186" i="20"/>
  <c r="H186" i="20"/>
  <c r="K186" i="20"/>
  <c r="L186" i="20"/>
  <c r="G185" i="20"/>
  <c r="H185" i="20"/>
  <c r="K185" i="20"/>
  <c r="L185" i="20"/>
  <c r="G184" i="20"/>
  <c r="H184" i="20"/>
  <c r="K184" i="20"/>
  <c r="L184" i="20"/>
  <c r="G183" i="20"/>
  <c r="H183" i="20"/>
  <c r="K183" i="20"/>
  <c r="L183" i="20"/>
  <c r="G182" i="20"/>
  <c r="H182" i="20"/>
  <c r="K182" i="20"/>
  <c r="L182" i="20"/>
  <c r="G181" i="20"/>
  <c r="H181" i="20"/>
  <c r="K181" i="20"/>
  <c r="L181" i="20"/>
  <c r="G180" i="20"/>
  <c r="H180" i="20"/>
  <c r="K180" i="20"/>
  <c r="L180" i="20"/>
  <c r="G179" i="20"/>
  <c r="H179" i="20"/>
  <c r="K179" i="20"/>
  <c r="L179" i="20"/>
  <c r="G178" i="20"/>
  <c r="H178" i="20"/>
  <c r="K178" i="20"/>
  <c r="L178" i="20"/>
  <c r="G177" i="20"/>
  <c r="H177" i="20"/>
  <c r="K177" i="20"/>
  <c r="L177" i="20"/>
  <c r="G176" i="20"/>
  <c r="H176" i="20"/>
  <c r="K176" i="20"/>
  <c r="L176" i="20"/>
  <c r="G175" i="20"/>
  <c r="H175" i="20"/>
  <c r="K175" i="20"/>
  <c r="L175" i="20"/>
  <c r="L174" i="20"/>
  <c r="K174" i="20"/>
  <c r="H174" i="20"/>
  <c r="G174" i="20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2" i="20"/>
  <c r="P103" i="20"/>
  <c r="P104" i="20"/>
  <c r="P105" i="20"/>
  <c r="P106" i="20"/>
  <c r="P107" i="20"/>
  <c r="P108" i="20"/>
  <c r="P109" i="20"/>
  <c r="P110" i="20"/>
  <c r="P111" i="20"/>
  <c r="P112" i="20"/>
  <c r="P113" i="20"/>
  <c r="P114" i="20"/>
  <c r="P115" i="20"/>
  <c r="P116" i="20"/>
  <c r="P117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6" i="20"/>
  <c r="P137" i="20"/>
  <c r="P138" i="20"/>
  <c r="P139" i="20"/>
  <c r="P140" i="20"/>
  <c r="P141" i="20"/>
  <c r="P142" i="20"/>
  <c r="P143" i="20"/>
  <c r="P144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1" i="20"/>
  <c r="P162" i="20"/>
  <c r="P163" i="20"/>
  <c r="P164" i="20"/>
  <c r="P165" i="20"/>
  <c r="P166" i="20"/>
  <c r="P167" i="20"/>
  <c r="P168" i="20"/>
  <c r="G138" i="20"/>
  <c r="D57" i="2"/>
  <c r="D58" i="2"/>
  <c r="D59" i="2"/>
  <c r="D60" i="2"/>
  <c r="D61" i="2"/>
  <c r="D62" i="2"/>
  <c r="D68" i="2"/>
  <c r="D64" i="2"/>
  <c r="D65" i="2"/>
  <c r="D66" i="2"/>
  <c r="D67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F176" i="2"/>
  <c r="C159" i="2"/>
  <c r="C160" i="2"/>
  <c r="C161" i="2"/>
  <c r="C162" i="2"/>
  <c r="C163" i="2"/>
  <c r="J73" i="20"/>
  <c r="J11" i="20"/>
  <c r="L8" i="20"/>
  <c r="L10" i="20"/>
  <c r="L12" i="20"/>
  <c r="L13" i="20"/>
  <c r="L14" i="20"/>
  <c r="L15" i="20"/>
  <c r="L17" i="20"/>
  <c r="L21" i="20"/>
  <c r="L23" i="20"/>
  <c r="L25" i="20"/>
  <c r="L26" i="20"/>
  <c r="L28" i="20"/>
  <c r="L29" i="20"/>
  <c r="L31" i="20"/>
  <c r="L32" i="20"/>
  <c r="L33" i="20"/>
  <c r="L34" i="20"/>
  <c r="L36" i="20"/>
  <c r="L38" i="20"/>
  <c r="L42" i="20"/>
  <c r="L43" i="20"/>
  <c r="L45" i="20"/>
  <c r="L46" i="20"/>
  <c r="L47" i="20"/>
  <c r="L48" i="20"/>
  <c r="L49" i="20"/>
  <c r="L50" i="20"/>
  <c r="L51" i="20"/>
  <c r="L52" i="20"/>
  <c r="L54" i="20"/>
  <c r="L55" i="20"/>
  <c r="L57" i="20"/>
  <c r="L58" i="20"/>
  <c r="L59" i="20"/>
  <c r="L61" i="20"/>
  <c r="L62" i="20"/>
  <c r="L63" i="20"/>
  <c r="L64" i="20"/>
  <c r="L65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4" i="20"/>
  <c r="L115" i="20"/>
  <c r="L116" i="20"/>
  <c r="L117" i="20"/>
  <c r="L118" i="20"/>
  <c r="L119" i="20"/>
  <c r="L120" i="20"/>
  <c r="L123" i="20"/>
  <c r="L124" i="20"/>
  <c r="L125" i="20"/>
  <c r="L126" i="20"/>
  <c r="L127" i="20"/>
  <c r="L128" i="20"/>
  <c r="L129" i="20"/>
  <c r="L130" i="20"/>
  <c r="L131" i="20"/>
  <c r="L132" i="20"/>
  <c r="L138" i="20"/>
  <c r="L139" i="20"/>
  <c r="L141" i="20"/>
  <c r="L142" i="20"/>
  <c r="L143" i="20"/>
  <c r="L147" i="20"/>
  <c r="L148" i="20"/>
  <c r="L151" i="20"/>
  <c r="L152" i="20"/>
  <c r="L155" i="20"/>
  <c r="L156" i="20"/>
  <c r="L157" i="20"/>
  <c r="L159" i="20"/>
  <c r="L162" i="20"/>
  <c r="L163" i="20"/>
  <c r="L164" i="20"/>
  <c r="L165" i="20"/>
  <c r="L166" i="20"/>
  <c r="L167" i="20"/>
  <c r="K5" i="20"/>
  <c r="K6" i="20"/>
  <c r="K7" i="20"/>
  <c r="K8" i="20"/>
  <c r="K9" i="20"/>
  <c r="K10" i="20"/>
  <c r="K11" i="20"/>
  <c r="K12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3" i="20"/>
  <c r="K54" i="20"/>
  <c r="K55" i="20"/>
  <c r="K56" i="20"/>
  <c r="K57" i="20"/>
  <c r="K58" i="20"/>
  <c r="K59" i="20"/>
  <c r="K60" i="20"/>
  <c r="K61" i="20"/>
  <c r="K62" i="20"/>
  <c r="K65" i="20"/>
  <c r="K66" i="20"/>
  <c r="K67" i="20"/>
  <c r="K68" i="20"/>
  <c r="K70" i="20"/>
  <c r="K71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7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2" i="20"/>
  <c r="K113" i="20"/>
  <c r="K114" i="20"/>
  <c r="K115" i="20"/>
  <c r="K116" i="20"/>
  <c r="K117" i="20"/>
  <c r="K118" i="20"/>
  <c r="K119" i="20"/>
  <c r="K121" i="20"/>
  <c r="K122" i="20"/>
  <c r="K123" i="20"/>
  <c r="K124" i="20"/>
  <c r="K125" i="20"/>
  <c r="K126" i="20"/>
  <c r="K127" i="20"/>
  <c r="K128" i="20"/>
  <c r="K130" i="20"/>
  <c r="K131" i="20"/>
  <c r="K132" i="20"/>
  <c r="K138" i="20"/>
  <c r="K139" i="20"/>
  <c r="K141" i="20"/>
  <c r="K142" i="20"/>
  <c r="K143" i="20"/>
  <c r="K147" i="20"/>
  <c r="K148" i="20"/>
  <c r="K151" i="20"/>
  <c r="K152" i="20"/>
  <c r="K155" i="20"/>
  <c r="K157" i="20"/>
  <c r="K159" i="20"/>
  <c r="K162" i="20"/>
  <c r="K163" i="20"/>
  <c r="K164" i="20"/>
  <c r="K165" i="20"/>
  <c r="K166" i="20"/>
  <c r="J132" i="20"/>
  <c r="J123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8" i="20"/>
  <c r="H139" i="20"/>
  <c r="H141" i="20"/>
  <c r="H142" i="20"/>
  <c r="H143" i="20"/>
  <c r="H145" i="20"/>
  <c r="H147" i="20"/>
  <c r="H148" i="20"/>
  <c r="H151" i="20"/>
  <c r="H152" i="20"/>
  <c r="H155" i="20"/>
  <c r="H156" i="20"/>
  <c r="H157" i="20"/>
  <c r="H159" i="20"/>
  <c r="H162" i="20"/>
  <c r="H163" i="20"/>
  <c r="H164" i="20"/>
  <c r="H165" i="20"/>
  <c r="H166" i="20"/>
  <c r="H167" i="20"/>
  <c r="G167" i="20"/>
  <c r="G166" i="20"/>
  <c r="G165" i="20"/>
  <c r="G164" i="20"/>
  <c r="G163" i="20"/>
  <c r="G162" i="20"/>
  <c r="G161" i="20"/>
  <c r="G159" i="20"/>
  <c r="G157" i="20"/>
  <c r="G156" i="20"/>
  <c r="G155" i="20"/>
  <c r="G152" i="20"/>
  <c r="G151" i="20"/>
  <c r="G148" i="20"/>
  <c r="G147" i="20"/>
  <c r="G143" i="20"/>
  <c r="G142" i="20"/>
  <c r="G141" i="20"/>
  <c r="G139" i="20"/>
  <c r="G137" i="20"/>
  <c r="G136" i="20"/>
  <c r="G135" i="20"/>
  <c r="G134" i="20"/>
  <c r="G132" i="20"/>
  <c r="G131" i="20"/>
  <c r="G130" i="20"/>
  <c r="G129" i="20"/>
  <c r="G128" i="20"/>
  <c r="G127" i="20"/>
  <c r="G125" i="20"/>
  <c r="J122" i="20"/>
  <c r="J121" i="20"/>
  <c r="J120" i="20"/>
  <c r="J115" i="20"/>
  <c r="G120" i="20"/>
  <c r="G119" i="20"/>
  <c r="G118" i="20"/>
  <c r="G117" i="20"/>
  <c r="G116" i="20"/>
  <c r="G115" i="20"/>
  <c r="G114" i="20"/>
  <c r="G111" i="20"/>
  <c r="G110" i="20"/>
  <c r="G109" i="20"/>
  <c r="G108" i="20"/>
  <c r="G107" i="20"/>
  <c r="G106" i="20"/>
  <c r="G105" i="20"/>
  <c r="G104" i="20"/>
  <c r="G103" i="20"/>
  <c r="G102" i="20"/>
  <c r="G101" i="20"/>
  <c r="G100" i="20"/>
  <c r="G98" i="20"/>
  <c r="G97" i="20"/>
  <c r="G96" i="20"/>
  <c r="G95" i="20"/>
  <c r="G92" i="20"/>
  <c r="G8" i="20"/>
  <c r="G10" i="20"/>
  <c r="G12" i="20"/>
  <c r="G13" i="20"/>
  <c r="G14" i="20"/>
  <c r="G15" i="20"/>
  <c r="G17" i="20"/>
  <c r="G21" i="20"/>
  <c r="G23" i="20"/>
  <c r="G25" i="20"/>
  <c r="G26" i="20"/>
  <c r="G28" i="20"/>
  <c r="G29" i="20"/>
  <c r="G31" i="20"/>
  <c r="G32" i="20"/>
  <c r="G33" i="20"/>
  <c r="G34" i="20"/>
  <c r="G36" i="20"/>
  <c r="G38" i="20"/>
  <c r="G42" i="20"/>
  <c r="G43" i="20"/>
  <c r="G45" i="20"/>
  <c r="G46" i="20"/>
  <c r="G47" i="20"/>
  <c r="G48" i="20"/>
  <c r="G49" i="20"/>
  <c r="G51" i="20"/>
  <c r="G52" i="20"/>
  <c r="G54" i="20"/>
  <c r="G55" i="20"/>
  <c r="G57" i="20"/>
  <c r="G58" i="20"/>
  <c r="G59" i="20"/>
  <c r="G61" i="20"/>
  <c r="G62" i="20"/>
  <c r="G63" i="20"/>
  <c r="G64" i="20"/>
  <c r="G65" i="20"/>
  <c r="G67" i="20"/>
  <c r="G68" i="20"/>
  <c r="G70" i="20"/>
  <c r="G71" i="20"/>
  <c r="G76" i="20"/>
  <c r="G78" i="20"/>
  <c r="G80" i="20"/>
  <c r="G82" i="20"/>
  <c r="G84" i="20"/>
  <c r="G85" i="20"/>
  <c r="G88" i="20"/>
  <c r="G89" i="20"/>
  <c r="G90" i="20"/>
  <c r="J5" i="20"/>
  <c r="J6" i="20"/>
  <c r="J7" i="20"/>
  <c r="J8" i="20" s="1"/>
  <c r="J9" i="20"/>
  <c r="J10" i="20" s="1"/>
  <c r="J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H42" i="20"/>
  <c r="H43" i="20"/>
  <c r="H45" i="20"/>
  <c r="H46" i="20"/>
  <c r="H47" i="20"/>
  <c r="H48" i="20"/>
  <c r="H49" i="20"/>
  <c r="H51" i="20"/>
  <c r="H52" i="20"/>
  <c r="H54" i="20"/>
  <c r="H55" i="20"/>
  <c r="H57" i="20"/>
  <c r="H58" i="20"/>
  <c r="H59" i="20"/>
  <c r="H61" i="20"/>
  <c r="H62" i="20"/>
  <c r="H63" i="20"/>
  <c r="H64" i="20"/>
  <c r="H65" i="20"/>
  <c r="H67" i="20"/>
  <c r="H68" i="20"/>
  <c r="H70" i="20"/>
  <c r="H21" i="20"/>
  <c r="H23" i="20"/>
  <c r="H25" i="20"/>
  <c r="H26" i="20"/>
  <c r="H28" i="20"/>
  <c r="H29" i="20"/>
  <c r="H31" i="20"/>
  <c r="H32" i="20"/>
  <c r="H33" i="20"/>
  <c r="H34" i="20"/>
  <c r="H36" i="20"/>
  <c r="H38" i="20"/>
  <c r="H12" i="20"/>
  <c r="H13" i="20"/>
  <c r="H14" i="20"/>
  <c r="H15" i="20"/>
  <c r="H17" i="20"/>
  <c r="H10" i="20"/>
  <c r="H8" i="20"/>
  <c r="C158" i="2"/>
  <c r="C157" i="2"/>
  <c r="H156" i="2"/>
  <c r="C156" i="2"/>
  <c r="H155" i="2"/>
  <c r="C155" i="2"/>
  <c r="H154" i="2"/>
  <c r="C154" i="2"/>
  <c r="H153" i="2"/>
  <c r="C153" i="2"/>
  <c r="H152" i="2"/>
  <c r="C152" i="2"/>
  <c r="H151" i="2"/>
  <c r="C151" i="2"/>
  <c r="H150" i="2"/>
  <c r="C150" i="2"/>
  <c r="H149" i="2"/>
  <c r="C149" i="2"/>
  <c r="H148" i="2"/>
  <c r="C148" i="2"/>
  <c r="H147" i="2"/>
  <c r="C147" i="2"/>
  <c r="H146" i="2"/>
  <c r="C146" i="2"/>
  <c r="H145" i="2"/>
  <c r="C145" i="2"/>
  <c r="H144" i="2"/>
  <c r="C144" i="2"/>
  <c r="H143" i="2"/>
  <c r="C143" i="2"/>
  <c r="H142" i="2"/>
  <c r="C142" i="2"/>
  <c r="H141" i="2"/>
  <c r="C141" i="2"/>
  <c r="H140" i="2"/>
  <c r="C140" i="2"/>
  <c r="H139" i="2"/>
  <c r="C139" i="2"/>
  <c r="H138" i="2"/>
  <c r="C138" i="2"/>
  <c r="H137" i="2"/>
  <c r="C137" i="2"/>
  <c r="H136" i="2"/>
  <c r="C136" i="2"/>
  <c r="H135" i="2"/>
  <c r="C135" i="2"/>
  <c r="H134" i="2"/>
  <c r="C134" i="2"/>
  <c r="H133" i="2"/>
  <c r="C133" i="2"/>
  <c r="H132" i="2"/>
  <c r="C132" i="2"/>
  <c r="H131" i="2"/>
  <c r="C131" i="2"/>
  <c r="H130" i="2"/>
  <c r="C130" i="2"/>
  <c r="H129" i="2"/>
  <c r="C129" i="2"/>
  <c r="H128" i="2"/>
  <c r="C128" i="2"/>
  <c r="H127" i="2"/>
  <c r="C127" i="2"/>
  <c r="H126" i="2"/>
  <c r="C126" i="2"/>
  <c r="H125" i="2"/>
  <c r="C125" i="2"/>
  <c r="H124" i="2"/>
  <c r="C124" i="2"/>
  <c r="H123" i="2"/>
  <c r="C123" i="2"/>
  <c r="H122" i="2"/>
  <c r="C122" i="2"/>
  <c r="H121" i="2"/>
  <c r="C121" i="2"/>
  <c r="H120" i="2"/>
  <c r="C120" i="2"/>
  <c r="H119" i="2"/>
  <c r="C119" i="2"/>
  <c r="H118" i="2"/>
  <c r="C118" i="2"/>
  <c r="H117" i="2"/>
  <c r="C117" i="2"/>
  <c r="H116" i="2"/>
  <c r="C116" i="2"/>
  <c r="H115" i="2"/>
  <c r="C115" i="2"/>
  <c r="H114" i="2"/>
  <c r="C114" i="2"/>
  <c r="H113" i="2"/>
  <c r="C113" i="2"/>
  <c r="H112" i="2"/>
  <c r="C112" i="2"/>
  <c r="H111" i="2"/>
  <c r="C111" i="2"/>
  <c r="H110" i="2"/>
  <c r="C110" i="2"/>
  <c r="H109" i="2"/>
  <c r="C109" i="2"/>
  <c r="H108" i="2"/>
  <c r="C108" i="2"/>
  <c r="H107" i="2"/>
  <c r="C107" i="2"/>
  <c r="H106" i="2"/>
  <c r="C106" i="2"/>
  <c r="H105" i="2"/>
  <c r="C105" i="2"/>
  <c r="H104" i="2"/>
  <c r="C104" i="2"/>
  <c r="H103" i="2"/>
  <c r="C103" i="2"/>
  <c r="H102" i="2"/>
  <c r="C102" i="2"/>
  <c r="H101" i="2"/>
  <c r="C101" i="2"/>
  <c r="H100" i="2"/>
  <c r="C100" i="2"/>
  <c r="H99" i="2"/>
  <c r="C99" i="2"/>
  <c r="H98" i="2"/>
  <c r="C98" i="2"/>
  <c r="H97" i="2"/>
  <c r="C97" i="2"/>
  <c r="H96" i="2"/>
  <c r="C96" i="2"/>
  <c r="H95" i="2"/>
  <c r="C95" i="2"/>
  <c r="H94" i="2"/>
  <c r="C94" i="2"/>
  <c r="H93" i="2"/>
  <c r="C93" i="2"/>
  <c r="H92" i="2"/>
  <c r="C92" i="2"/>
  <c r="H91" i="2"/>
  <c r="C91" i="2"/>
  <c r="H90" i="2"/>
  <c r="C90" i="2"/>
  <c r="H89" i="2"/>
  <c r="C89" i="2"/>
  <c r="H88" i="2"/>
  <c r="C88" i="2"/>
  <c r="H87" i="2"/>
  <c r="C87" i="2"/>
  <c r="H86" i="2"/>
  <c r="C86" i="2"/>
  <c r="H85" i="2"/>
  <c r="C85" i="2"/>
  <c r="H84" i="2"/>
  <c r="C84" i="2"/>
  <c r="H83" i="2"/>
  <c r="C83" i="2"/>
  <c r="H82" i="2"/>
  <c r="C82" i="2"/>
  <c r="H81" i="2"/>
  <c r="C81" i="2"/>
  <c r="H80" i="2"/>
  <c r="C80" i="2"/>
  <c r="H79" i="2"/>
  <c r="C79" i="2"/>
  <c r="H78" i="2"/>
  <c r="C78" i="2"/>
  <c r="H77" i="2"/>
  <c r="C77" i="2"/>
  <c r="H76" i="2"/>
  <c r="C76" i="2"/>
  <c r="H75" i="2"/>
  <c r="C75" i="2"/>
  <c r="H74" i="2"/>
  <c r="C74" i="2"/>
  <c r="H73" i="2"/>
  <c r="C73" i="2"/>
  <c r="H72" i="2"/>
  <c r="C72" i="2"/>
  <c r="H71" i="2"/>
  <c r="C71" i="2"/>
  <c r="H70" i="2"/>
  <c r="C70" i="2"/>
  <c r="H69" i="2"/>
  <c r="C69" i="2"/>
  <c r="H68" i="2"/>
  <c r="C68" i="2"/>
  <c r="H67" i="2"/>
  <c r="C67" i="2"/>
  <c r="H66" i="2"/>
  <c r="C66" i="2"/>
  <c r="H65" i="2"/>
  <c r="C65" i="2"/>
  <c r="H64" i="2"/>
  <c r="C64" i="2"/>
  <c r="H63" i="2"/>
  <c r="C63" i="2"/>
  <c r="H62" i="2"/>
  <c r="C62" i="2"/>
  <c r="H61" i="2"/>
  <c r="C61" i="2"/>
  <c r="H60" i="2"/>
  <c r="C60" i="2"/>
  <c r="H59" i="2"/>
  <c r="C59" i="2"/>
  <c r="H58" i="2"/>
  <c r="C58" i="2"/>
  <c r="H57" i="2"/>
  <c r="C57" i="2"/>
  <c r="J216" i="20" l="1"/>
  <c r="J215" i="20"/>
  <c r="J214" i="20"/>
  <c r="J212" i="20"/>
  <c r="J213" i="20"/>
  <c r="J211" i="20"/>
  <c r="J182" i="20"/>
  <c r="J206" i="20"/>
  <c r="J207" i="20" s="1"/>
  <c r="J197" i="20"/>
  <c r="J189" i="20"/>
  <c r="J178" i="20"/>
  <c r="J208" i="20"/>
  <c r="J203" i="20"/>
  <c r="J204" i="20" s="1"/>
  <c r="J188" i="20"/>
  <c r="J187" i="20"/>
  <c r="J176" i="20"/>
  <c r="J175" i="20"/>
  <c r="J209" i="20"/>
  <c r="J205" i="20"/>
  <c r="J183" i="20"/>
  <c r="J184" i="20" s="1"/>
  <c r="J177" i="20"/>
  <c r="N47" i="20"/>
  <c r="N51" i="20"/>
  <c r="N54" i="20"/>
  <c r="N55" i="20"/>
  <c r="N58" i="20"/>
  <c r="N62" i="20"/>
  <c r="N43" i="20"/>
  <c r="N46" i="20"/>
  <c r="N49" i="20"/>
  <c r="N59" i="20"/>
  <c r="N61" i="20"/>
  <c r="N60" i="20" s="1"/>
  <c r="N67" i="20"/>
  <c r="N57" i="20"/>
  <c r="N56" i="20" s="1"/>
  <c r="N65" i="20"/>
  <c r="N68" i="20"/>
  <c r="N45" i="20"/>
  <c r="N44" i="20" s="1"/>
  <c r="N48" i="20"/>
  <c r="N40" i="20"/>
  <c r="N39" i="20"/>
  <c r="N10" i="20"/>
  <c r="N9" i="20" s="1"/>
  <c r="N38" i="20"/>
  <c r="N37" i="20" s="1"/>
  <c r="N42" i="20"/>
  <c r="N70" i="20"/>
  <c r="N71" i="20"/>
  <c r="N8" i="20"/>
  <c r="N7" i="20" s="1"/>
  <c r="N6" i="20"/>
  <c r="K133" i="20"/>
  <c r="G144" i="20"/>
  <c r="G160" i="20"/>
  <c r="G150" i="20"/>
  <c r="L150" i="20"/>
  <c r="K150" i="20"/>
  <c r="H160" i="20"/>
  <c r="K137" i="20"/>
  <c r="K135" i="20"/>
  <c r="K140" i="20"/>
  <c r="K158" i="20"/>
  <c r="H149" i="20"/>
  <c r="G158" i="20"/>
  <c r="G149" i="20"/>
  <c r="L168" i="20"/>
  <c r="K161" i="20"/>
  <c r="H146" i="20"/>
  <c r="K146" i="20"/>
  <c r="H161" i="20"/>
  <c r="G145" i="20"/>
  <c r="H134" i="20"/>
  <c r="H135" i="20"/>
  <c r="H136" i="20"/>
  <c r="H137" i="20"/>
  <c r="H140" i="20"/>
  <c r="H144" i="20"/>
  <c r="G153" i="20"/>
  <c r="H168" i="20"/>
  <c r="G168" i="20"/>
  <c r="G146" i="20"/>
  <c r="K153" i="20"/>
  <c r="K134" i="20"/>
  <c r="H150" i="20"/>
  <c r="H158" i="20"/>
  <c r="G133" i="20"/>
  <c r="K149" i="20"/>
  <c r="K160" i="20"/>
  <c r="H154" i="20"/>
  <c r="G140" i="20"/>
  <c r="K136" i="20"/>
  <c r="K154" i="20"/>
  <c r="K168" i="20"/>
  <c r="H153" i="20"/>
  <c r="G154" i="20"/>
  <c r="K4" i="20"/>
  <c r="N4" i="20" s="1"/>
  <c r="L146" i="20"/>
  <c r="L121" i="20"/>
  <c r="O121" i="20" s="1"/>
  <c r="L135" i="20"/>
  <c r="L145" i="20"/>
  <c r="L112" i="20"/>
  <c r="L113" i="20"/>
  <c r="K3" i="20"/>
  <c r="L4" i="20"/>
  <c r="O4" i="20" s="1"/>
  <c r="L7" i="20"/>
  <c r="L18" i="20"/>
  <c r="L24" i="20"/>
  <c r="K144" i="20"/>
  <c r="K145" i="20"/>
  <c r="L35" i="20"/>
  <c r="L40" i="20"/>
  <c r="O40" i="20" s="1"/>
  <c r="L158" i="20"/>
  <c r="L44" i="20"/>
  <c r="H133" i="20"/>
  <c r="L60" i="20"/>
  <c r="L122" i="20"/>
  <c r="O122" i="20" s="1"/>
  <c r="L136" i="20"/>
  <c r="L149" i="20"/>
  <c r="L160" i="20"/>
  <c r="L5" i="20"/>
  <c r="O5" i="20" s="1"/>
  <c r="L6" i="20"/>
  <c r="O6" i="20" s="1"/>
  <c r="L9" i="20"/>
  <c r="L11" i="20"/>
  <c r="L16" i="20"/>
  <c r="G122" i="20"/>
  <c r="G121" i="20"/>
  <c r="G113" i="20"/>
  <c r="G112" i="20"/>
  <c r="L19" i="20"/>
  <c r="L20" i="20"/>
  <c r="L22" i="20"/>
  <c r="L27" i="20"/>
  <c r="L30" i="20"/>
  <c r="L134" i="20"/>
  <c r="L144" i="20"/>
  <c r="L154" i="20"/>
  <c r="L37" i="20"/>
  <c r="L39" i="20"/>
  <c r="O39" i="20" s="1"/>
  <c r="L41" i="20"/>
  <c r="L53" i="20"/>
  <c r="L137" i="20"/>
  <c r="L56" i="20"/>
  <c r="L66" i="20"/>
  <c r="L133" i="20"/>
  <c r="L140" i="20"/>
  <c r="L153" i="20"/>
  <c r="L161" i="20"/>
  <c r="G124" i="20"/>
  <c r="L3" i="20"/>
  <c r="K69" i="20"/>
  <c r="K72" i="20"/>
  <c r="G126" i="20"/>
  <c r="G123" i="20"/>
  <c r="N5" i="20"/>
  <c r="N121" i="20"/>
  <c r="N122" i="20"/>
  <c r="O10" i="20"/>
  <c r="O36" i="20"/>
  <c r="O43" i="20"/>
  <c r="O46" i="20"/>
  <c r="O48" i="20"/>
  <c r="O51" i="20"/>
  <c r="O54" i="20"/>
  <c r="O62" i="20"/>
  <c r="O71" i="20"/>
  <c r="O38" i="20"/>
  <c r="O42" i="20"/>
  <c r="O49" i="20"/>
  <c r="O59" i="20"/>
  <c r="O65" i="20"/>
  <c r="O67" i="20"/>
  <c r="O120" i="20"/>
  <c r="O8" i="20"/>
  <c r="O45" i="20"/>
  <c r="O47" i="20"/>
  <c r="O55" i="20"/>
  <c r="O58" i="20"/>
  <c r="O61" i="20"/>
  <c r="O63" i="20"/>
  <c r="O64" i="20"/>
  <c r="O68" i="20"/>
  <c r="O57" i="20"/>
  <c r="O70" i="20"/>
  <c r="O52" i="20"/>
  <c r="J151" i="20"/>
  <c r="J152" i="20"/>
  <c r="J153" i="20"/>
  <c r="J154" i="20"/>
  <c r="J145" i="20"/>
  <c r="J142" i="20"/>
  <c r="J143" i="20"/>
  <c r="J144" i="20"/>
  <c r="J141" i="20"/>
  <c r="J133" i="20"/>
  <c r="J125" i="20"/>
  <c r="J126" i="20"/>
  <c r="J127" i="20"/>
  <c r="J128" i="20"/>
  <c r="J129" i="20"/>
  <c r="J130" i="20"/>
  <c r="J131" i="20"/>
  <c r="J124" i="20"/>
  <c r="J119" i="20"/>
  <c r="J118" i="20"/>
  <c r="J117" i="20"/>
  <c r="J116" i="20"/>
  <c r="J113" i="20"/>
  <c r="J112" i="20"/>
  <c r="J111" i="20"/>
  <c r="J110" i="20"/>
  <c r="J109" i="20"/>
  <c r="G99" i="20"/>
  <c r="G94" i="20"/>
  <c r="G93" i="20"/>
  <c r="G91" i="20"/>
  <c r="G3" i="20"/>
  <c r="G4" i="20"/>
  <c r="G5" i="20"/>
  <c r="G6" i="20"/>
  <c r="G7" i="20"/>
  <c r="H50" i="20"/>
  <c r="H69" i="20"/>
  <c r="H22" i="20"/>
  <c r="H27" i="20"/>
  <c r="H11" i="20"/>
  <c r="G9" i="20"/>
  <c r="G11" i="20"/>
  <c r="G16" i="20"/>
  <c r="G18" i="20"/>
  <c r="G19" i="20"/>
  <c r="G20" i="20"/>
  <c r="G22" i="20"/>
  <c r="G24" i="20"/>
  <c r="H20" i="20"/>
  <c r="H9" i="20"/>
  <c r="G27" i="20"/>
  <c r="G30" i="20"/>
  <c r="G35" i="20"/>
  <c r="G37" i="20"/>
  <c r="G39" i="20"/>
  <c r="G40" i="20"/>
  <c r="G41" i="20"/>
  <c r="G56" i="20"/>
  <c r="G75" i="20"/>
  <c r="H56" i="20"/>
  <c r="H19" i="20"/>
  <c r="H24" i="20"/>
  <c r="H37" i="20"/>
  <c r="H5" i="20"/>
  <c r="G44" i="20"/>
  <c r="G50" i="20"/>
  <c r="G53" i="20"/>
  <c r="G74" i="20"/>
  <c r="H44" i="20"/>
  <c r="H53" i="20"/>
  <c r="H30" i="20"/>
  <c r="H39" i="20"/>
  <c r="H6" i="20"/>
  <c r="G60" i="20"/>
  <c r="G66" i="20"/>
  <c r="G69" i="20"/>
  <c r="G72" i="20"/>
  <c r="G73" i="20"/>
  <c r="H60" i="20"/>
  <c r="H35" i="20"/>
  <c r="H4" i="20"/>
  <c r="G77" i="20"/>
  <c r="G79" i="20"/>
  <c r="G81" i="20"/>
  <c r="G83" i="20"/>
  <c r="G86" i="20"/>
  <c r="G87" i="20"/>
  <c r="H40" i="20"/>
  <c r="H41" i="20"/>
  <c r="H66" i="20"/>
  <c r="H18" i="20"/>
  <c r="H16" i="20"/>
  <c r="H7" i="20"/>
  <c r="J34" i="20"/>
  <c r="J33" i="20"/>
  <c r="J30" i="20"/>
  <c r="J27" i="20"/>
  <c r="J24" i="20"/>
  <c r="J22" i="20"/>
  <c r="J19" i="20"/>
  <c r="J20" i="20"/>
  <c r="J18" i="20"/>
  <c r="J13" i="20"/>
  <c r="J14" i="20"/>
  <c r="J15" i="20"/>
  <c r="J16" i="20"/>
  <c r="J12" i="20"/>
  <c r="F55" i="2"/>
  <c r="F54" i="2"/>
  <c r="N53" i="20" l="1"/>
  <c r="N66" i="20"/>
  <c r="J191" i="20"/>
  <c r="J192" i="20"/>
  <c r="J193" i="20"/>
  <c r="J194" i="20"/>
  <c r="J195" i="20"/>
  <c r="J196" i="20"/>
  <c r="J190" i="20"/>
  <c r="J202" i="20"/>
  <c r="J199" i="20"/>
  <c r="J201" i="20"/>
  <c r="J198" i="20"/>
  <c r="J200" i="20"/>
  <c r="J181" i="20"/>
  <c r="J179" i="20"/>
  <c r="J180" i="20"/>
  <c r="J186" i="20"/>
  <c r="J185" i="20"/>
  <c r="N69" i="20"/>
  <c r="N41" i="20"/>
  <c r="O9" i="20"/>
  <c r="O37" i="20"/>
  <c r="O7" i="20"/>
  <c r="O56" i="20"/>
  <c r="N153" i="20"/>
  <c r="O153" i="20"/>
  <c r="N144" i="20"/>
  <c r="O144" i="20"/>
  <c r="O44" i="20"/>
  <c r="O60" i="20"/>
  <c r="O66" i="20"/>
  <c r="O41" i="20"/>
  <c r="O53" i="20"/>
  <c r="O69" i="20"/>
  <c r="O151" i="20"/>
  <c r="N151" i="20"/>
  <c r="O152" i="20"/>
  <c r="N152" i="20"/>
  <c r="O142" i="20"/>
  <c r="N142" i="20"/>
  <c r="O143" i="20"/>
  <c r="N143" i="20"/>
  <c r="O141" i="20"/>
  <c r="N141" i="20"/>
  <c r="O125" i="20"/>
  <c r="N125" i="20"/>
  <c r="O126" i="20"/>
  <c r="N126" i="20"/>
  <c r="O127" i="20"/>
  <c r="N127" i="20"/>
  <c r="O128" i="20"/>
  <c r="N128" i="20"/>
  <c r="O129" i="20"/>
  <c r="N130" i="20"/>
  <c r="O130" i="20"/>
  <c r="O131" i="20"/>
  <c r="N131" i="20"/>
  <c r="O124" i="20"/>
  <c r="N124" i="20"/>
  <c r="O119" i="20"/>
  <c r="N119" i="20"/>
  <c r="O118" i="20"/>
  <c r="N118" i="20"/>
  <c r="O117" i="20"/>
  <c r="N117" i="20"/>
  <c r="O116" i="20"/>
  <c r="N116" i="20"/>
  <c r="O113" i="20"/>
  <c r="N113" i="20"/>
  <c r="O112" i="20"/>
  <c r="N112" i="20"/>
  <c r="O111" i="20"/>
  <c r="O110" i="20"/>
  <c r="N110" i="20"/>
  <c r="O109" i="20"/>
  <c r="N109" i="20"/>
  <c r="N34" i="20"/>
  <c r="O34" i="20"/>
  <c r="N33" i="20"/>
  <c r="O33" i="20"/>
  <c r="N19" i="20"/>
  <c r="O19" i="20"/>
  <c r="O18" i="20"/>
  <c r="N18" i="20"/>
  <c r="O13" i="20"/>
  <c r="O14" i="20"/>
  <c r="O15" i="20"/>
  <c r="N12" i="20"/>
  <c r="O12" i="20"/>
  <c r="J155" i="20"/>
  <c r="J157" i="20"/>
  <c r="J156" i="20"/>
  <c r="J161" i="20"/>
  <c r="J168" i="20"/>
  <c r="J167" i="20"/>
  <c r="J166" i="20"/>
  <c r="J165" i="20"/>
  <c r="J164" i="20"/>
  <c r="J163" i="20"/>
  <c r="J162" i="20"/>
  <c r="J23" i="20"/>
  <c r="J21" i="20"/>
  <c r="J17" i="20"/>
  <c r="J146" i="20"/>
  <c r="J150" i="20"/>
  <c r="J149" i="20"/>
  <c r="J148" i="20"/>
  <c r="J147" i="20"/>
  <c r="J134" i="20"/>
  <c r="J138" i="20"/>
  <c r="J137" i="20"/>
  <c r="J136" i="20"/>
  <c r="J135" i="20"/>
  <c r="J74" i="20"/>
  <c r="J100" i="20"/>
  <c r="J86" i="20"/>
  <c r="J31" i="20"/>
  <c r="J32" i="20"/>
  <c r="J28" i="20"/>
  <c r="J29" i="20"/>
  <c r="J25" i="20"/>
  <c r="J26" i="20"/>
  <c r="N161" i="20" l="1"/>
  <c r="O161" i="20"/>
  <c r="N168" i="20"/>
  <c r="O168" i="20"/>
  <c r="N146" i="20"/>
  <c r="O146" i="20"/>
  <c r="N150" i="20"/>
  <c r="O150" i="20"/>
  <c r="N149" i="20"/>
  <c r="O149" i="20"/>
  <c r="N134" i="20"/>
  <c r="O134" i="20"/>
  <c r="N137" i="20"/>
  <c r="O137" i="20"/>
  <c r="N136" i="20"/>
  <c r="O136" i="20"/>
  <c r="N135" i="20"/>
  <c r="O135" i="20"/>
  <c r="O35" i="20"/>
  <c r="O50" i="20"/>
  <c r="O115" i="20"/>
  <c r="O114" i="20" s="1"/>
  <c r="N115" i="20"/>
  <c r="O123" i="20"/>
  <c r="O155" i="20"/>
  <c r="N155" i="20"/>
  <c r="O156" i="20"/>
  <c r="O167" i="20"/>
  <c r="O166" i="20"/>
  <c r="N166" i="20"/>
  <c r="O165" i="20"/>
  <c r="N165" i="20"/>
  <c r="O164" i="20"/>
  <c r="N164" i="20"/>
  <c r="O163" i="20"/>
  <c r="N163" i="20"/>
  <c r="O162" i="20"/>
  <c r="N162" i="20"/>
  <c r="O148" i="20"/>
  <c r="N148" i="20"/>
  <c r="O147" i="20"/>
  <c r="N147" i="20"/>
  <c r="O138" i="20"/>
  <c r="N23" i="20"/>
  <c r="N22" i="20" s="1"/>
  <c r="O23" i="20"/>
  <c r="O22" i="20" s="1"/>
  <c r="N21" i="20"/>
  <c r="N20" i="20" s="1"/>
  <c r="O21" i="20"/>
  <c r="O20" i="20" s="1"/>
  <c r="N17" i="20"/>
  <c r="N16" i="20" s="1"/>
  <c r="O17" i="20"/>
  <c r="O16" i="20" s="1"/>
  <c r="N31" i="20"/>
  <c r="O31" i="20"/>
  <c r="O32" i="20"/>
  <c r="N32" i="20"/>
  <c r="O28" i="20"/>
  <c r="N28" i="20"/>
  <c r="N29" i="20"/>
  <c r="O29" i="20"/>
  <c r="N25" i="20"/>
  <c r="O25" i="20"/>
  <c r="O26" i="20"/>
  <c r="N26" i="20"/>
  <c r="J158" i="20"/>
  <c r="J160" i="20"/>
  <c r="J159" i="20"/>
  <c r="J139" i="20"/>
  <c r="J140" i="20"/>
  <c r="J75" i="20"/>
  <c r="J77" i="20"/>
  <c r="J79" i="20"/>
  <c r="J81" i="20"/>
  <c r="J83" i="20"/>
  <c r="J84" i="20"/>
  <c r="J85" i="20"/>
  <c r="J101" i="20"/>
  <c r="J102" i="20"/>
  <c r="J104" i="20"/>
  <c r="J105" i="20"/>
  <c r="J107" i="20"/>
  <c r="J108" i="20"/>
  <c r="J87" i="20"/>
  <c r="J91" i="20"/>
  <c r="J93" i="20"/>
  <c r="J94" i="20"/>
  <c r="J96" i="20"/>
  <c r="J97" i="20"/>
  <c r="J99" i="20"/>
  <c r="J98" i="20"/>
  <c r="F41" i="2"/>
  <c r="F42" i="2"/>
  <c r="F24" i="2"/>
  <c r="K167" i="20" s="1"/>
  <c r="N167" i="20" s="1"/>
  <c r="N145" i="20" l="1"/>
  <c r="O133" i="20"/>
  <c r="O145" i="20"/>
  <c r="N158" i="20"/>
  <c r="O158" i="20"/>
  <c r="N160" i="20"/>
  <c r="O160" i="20"/>
  <c r="N140" i="20"/>
  <c r="O140" i="20"/>
  <c r="O159" i="20"/>
  <c r="N159" i="20"/>
  <c r="O139" i="20"/>
  <c r="N139" i="20"/>
  <c r="O75" i="20"/>
  <c r="O77" i="20"/>
  <c r="O79" i="20"/>
  <c r="O81" i="20"/>
  <c r="O83" i="20"/>
  <c r="N83" i="20"/>
  <c r="O84" i="20"/>
  <c r="N84" i="20"/>
  <c r="O85" i="20"/>
  <c r="N85" i="20"/>
  <c r="O101" i="20"/>
  <c r="N101" i="20"/>
  <c r="O102" i="20"/>
  <c r="O104" i="20"/>
  <c r="N104" i="20"/>
  <c r="O105" i="20"/>
  <c r="O107" i="20"/>
  <c r="N107" i="20"/>
  <c r="O108" i="20"/>
  <c r="N108" i="20"/>
  <c r="O87" i="20"/>
  <c r="O91" i="20"/>
  <c r="O93" i="20"/>
  <c r="N93" i="20"/>
  <c r="O94" i="20"/>
  <c r="O96" i="20"/>
  <c r="O97" i="20"/>
  <c r="N97" i="20"/>
  <c r="O99" i="20"/>
  <c r="N99" i="20"/>
  <c r="O98" i="20"/>
  <c r="N30" i="20"/>
  <c r="O30" i="20"/>
  <c r="O27" i="20"/>
  <c r="N27" i="20"/>
  <c r="N24" i="20"/>
  <c r="O24" i="20"/>
  <c r="J76" i="20"/>
  <c r="J78" i="20"/>
  <c r="J80" i="20"/>
  <c r="J82" i="20"/>
  <c r="J103" i="20"/>
  <c r="J106" i="20"/>
  <c r="J92" i="20"/>
  <c r="J95" i="20"/>
  <c r="J88" i="20"/>
  <c r="J89" i="20"/>
  <c r="J90" i="20"/>
  <c r="F46" i="2"/>
  <c r="F47" i="2"/>
  <c r="K14" i="20" s="1"/>
  <c r="N14" i="20" s="1"/>
  <c r="F49" i="2"/>
  <c r="K13" i="20" s="1"/>
  <c r="N13" i="20" s="1"/>
  <c r="F48" i="2"/>
  <c r="K15" i="20" s="1"/>
  <c r="N15" i="20" s="1"/>
  <c r="O157" i="20" l="1"/>
  <c r="O154" i="20" s="1"/>
  <c r="O132" i="20" s="1"/>
  <c r="N138" i="20"/>
  <c r="N133" i="20" s="1"/>
  <c r="N157" i="20"/>
  <c r="O11" i="20"/>
  <c r="O3" i="20" s="1"/>
  <c r="K111" i="20"/>
  <c r="N111" i="20" s="1"/>
  <c r="K120" i="20"/>
  <c r="N120" i="20" s="1"/>
  <c r="N114" i="20" s="1"/>
  <c r="K36" i="20"/>
  <c r="N36" i="20" s="1"/>
  <c r="N35" i="20" s="1"/>
  <c r="N11" i="20"/>
  <c r="O100" i="20"/>
  <c r="O86" i="20"/>
  <c r="O74" i="20"/>
  <c r="O76" i="20"/>
  <c r="N76" i="20"/>
  <c r="N75" i="20" s="1"/>
  <c r="O78" i="20"/>
  <c r="N78" i="20"/>
  <c r="N77" i="20" s="1"/>
  <c r="O80" i="20"/>
  <c r="N80" i="20"/>
  <c r="N79" i="20" s="1"/>
  <c r="O82" i="20"/>
  <c r="N82" i="20"/>
  <c r="N81" i="20" s="1"/>
  <c r="O103" i="20"/>
  <c r="N103" i="20"/>
  <c r="N102" i="20" s="1"/>
  <c r="O106" i="20"/>
  <c r="N106" i="20"/>
  <c r="N105" i="20" s="1"/>
  <c r="O92" i="20"/>
  <c r="N92" i="20"/>
  <c r="N91" i="20" s="1"/>
  <c r="O95" i="20"/>
  <c r="N95" i="20"/>
  <c r="N94" i="20" s="1"/>
  <c r="O88" i="20"/>
  <c r="N88" i="20"/>
  <c r="O89" i="20"/>
  <c r="N89" i="20"/>
  <c r="O90" i="20"/>
  <c r="N90" i="20"/>
  <c r="F15" i="2"/>
  <c r="F28" i="2"/>
  <c r="F25" i="2"/>
  <c r="F44" i="2"/>
  <c r="F45" i="2"/>
  <c r="K52" i="20" s="1"/>
  <c r="N52" i="20" s="1"/>
  <c r="F43" i="2"/>
  <c r="K63" i="20" s="1"/>
  <c r="N63" i="20" s="1"/>
  <c r="K64" i="20" l="1"/>
  <c r="N64" i="20" s="1"/>
  <c r="N50" i="20" s="1"/>
  <c r="K212" i="20"/>
  <c r="N3" i="20"/>
  <c r="K156" i="20"/>
  <c r="N156" i="20" s="1"/>
  <c r="N154" i="20" s="1"/>
  <c r="N132" i="20" s="1"/>
  <c r="K129" i="20"/>
  <c r="N129" i="20" s="1"/>
  <c r="N123" i="20" s="1"/>
  <c r="K98" i="20"/>
  <c r="N98" i="20" s="1"/>
  <c r="O73" i="20"/>
  <c r="O72" i="20" s="1"/>
  <c r="N87" i="20"/>
  <c r="N74" i="20"/>
  <c r="N73" i="20" s="1"/>
  <c r="N72" i="20" s="1"/>
  <c r="N100" i="20"/>
  <c r="F30" i="2"/>
  <c r="K96" i="20" l="1"/>
  <c r="N96" i="20" s="1"/>
  <c r="N86" i="20" s="1"/>
  <c r="G213" i="20"/>
  <c r="G214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4895CFA-FFDD-4984-8212-89CF1D5898E1}" keepAlive="1" name="Query - Append1" description="Connection to the 'Append1' query in the workbook." type="5" refreshedVersion="8" background="1" saveData="1">
    <dbPr connection="Provider=Microsoft.Mashup.OleDb.1;Data Source=$Workbook$;Location=Append1;Extended Properties=&quot;&quot;" command="SELECT * FROM [Append1]"/>
  </connection>
  <connection id="2" xr16:uid="{A7E38561-FF79-4216-A0E9-2BF49A862CE5}" keepAlive="1" name="Query - BoM_StdPrt" description="Connection to the 'BoM_StdPrt' query in the workbook." type="5" refreshedVersion="8" background="1" saveData="1">
    <dbPr connection="Provider=Microsoft.Mashup.OleDb.1;Data Source=$Workbook$;Location=BoM_StdPrt;Extended Properties=&quot;&quot;" command="SELECT * FROM [BoM_StdPrt]"/>
  </connection>
  <connection id="3" xr16:uid="{FEE610F9-C5FF-4E33-90EE-E59864847D09}" keepAlive="1" name="Query - CAM_CstmPrt" description="Connection to the 'CAM_CstmPrt' query in the workbook." type="5" refreshedVersion="0" background="1">
    <dbPr connection="Provider=Microsoft.Mashup.OleDb.1;Data Source=$Workbook$;Location=CAM_CstmPrt;Extended Properties=&quot;&quot;" command="SELECT * FROM [CAM_CstmPrt]"/>
  </connection>
  <connection id="4" xr16:uid="{83E76B11-8504-47C3-9011-296EB28E1779}" keepAlive="1" name="Query - CAM_StdPrt" description="Connection to the 'CAM_StdPrt' query in the workbook." type="5" refreshedVersion="0" background="1">
    <dbPr connection="Provider=Microsoft.Mashup.OleDb.1;Data Source=$Workbook$;Location=CAM_StdPrt;Extended Properties=&quot;&quot;" command="SELECT * FROM [CAM_StdPrt]"/>
  </connection>
  <connection id="5" xr16:uid="{BCF9989C-FDA7-4249-90D8-BB8B941A69B7}" keepAlive="1" name="Query - EB_CstmPrt" description="Connection to the 'EB_CstmPrt' query in the workbook." type="5" refreshedVersion="0" background="1">
    <dbPr connection="Provider=Microsoft.Mashup.OleDb.1;Data Source=$Workbook$;Location=EB_CstmPrt;Extended Properties=&quot;&quot;" command="SELECT * FROM [EB_CstmPrt]"/>
  </connection>
  <connection id="6" xr16:uid="{EA08384A-9FA4-4D19-9FE4-A3C40217204C}" keepAlive="1" name="Query - EB_StdPrt" description="Connection to the 'EB_StdPrt' query in the workbook." type="5" refreshedVersion="0" background="1">
    <dbPr connection="Provider=Microsoft.Mashup.OleDb.1;Data Source=$Workbook$;Location=EB_StdPrt;Extended Properties=&quot;&quot;" command="SELECT * FROM [EB_StdPrt]"/>
  </connection>
  <connection id="7" xr16:uid="{D20099F2-F443-469A-9751-26A6156B7439}" keepAlive="1" name="Query - IL_CstmPrt" description="Connection to the 'IL_CstmPrt' query in the workbook." type="5" refreshedVersion="0" background="1">
    <dbPr connection="Provider=Microsoft.Mashup.OleDb.1;Data Source=$Workbook$;Location=IL_CstmPrt;Extended Properties=&quot;&quot;" command="SELECT * FROM [IL_CstmPrt]"/>
  </connection>
  <connection id="8" xr16:uid="{3CB93E6C-21A8-443C-A5D6-A2BE609AD9DD}" keepAlive="1" name="Query - IL_StdPrt" description="Connection to the 'IL_StdPrt' query in the workbook." type="5" refreshedVersion="0" background="1">
    <dbPr connection="Provider=Microsoft.Mashup.OleDb.1;Data Source=$Workbook$;Location=IL_StdPrt;Extended Properties=&quot;&quot;" command="SELECT * FROM [IL_StdPrt]"/>
  </connection>
  <connection id="9" xr16:uid="{5A3E9F28-FD21-4E27-9EED-391E1ABA44F8}" keepAlive="1" name="Query - Indented_BoM" description="Connection to the 'Indented_BoM' query in the workbook." type="5" refreshedVersion="0" background="1">
    <dbPr connection="Provider=Microsoft.Mashup.OleDb.1;Data Source=$Workbook$;Location=Indented_BoM;Extended Properties=&quot;&quot;" command="SELECT * FROM [Indented_BoM]"/>
  </connection>
  <connection id="10" xr16:uid="{4BE498C0-5D2C-4174-A8D1-A49E94807319}" keepAlive="1" name="Query - LV_CstmPrt" description="Connection to the 'LV_CstmPrt' query in the workbook." type="5" refreshedVersion="0" background="1">
    <dbPr connection="Provider=Microsoft.Mashup.OleDb.1;Data Source=$Workbook$;Location=LV_CstmPrt;Extended Properties=&quot;&quot;" command="SELECT * FROM [LV_CstmPrt]"/>
  </connection>
  <connection id="11" xr16:uid="{C8FEEA04-8DC7-4478-952A-5F3CC2243CBD}" keepAlive="1" name="Query - LV_StdPrt" description="Connection to the 'LV_StdPrt' query in the workbook." type="5" refreshedVersion="0" background="1">
    <dbPr connection="Provider=Microsoft.Mashup.OleDb.1;Data Source=$Workbook$;Location=LV_StdPrt;Extended Properties=&quot;&quot;" command="SELECT * FROM [LV_StdPrt]"/>
  </connection>
  <connection id="12" xr16:uid="{1F1932AC-B13E-4A97-9368-A899B1F0DED2}" keepAlive="1" name="Query - PR_CstmPrt" description="Connection to the 'PR_CstmPrt' query in the workbook." type="5" refreshedVersion="0" background="1">
    <dbPr connection="Provider=Microsoft.Mashup.OleDb.1;Data Source=$Workbook$;Location=PR_CstmPrt;Extended Properties=&quot;&quot;" command="SELECT * FROM [PR_CstmPrt]"/>
  </connection>
  <connection id="13" xr16:uid="{2255014B-1388-433B-9549-366F5CDC04B4}" keepAlive="1" name="Query - PR_StdPrt" description="Connection to the 'PR_StdPrt' query in the workbook." type="5" refreshedVersion="0" background="1">
    <dbPr connection="Provider=Microsoft.Mashup.OleDb.1;Data Source=$Workbook$;Location=PR_StdPrt;Extended Properties=&quot;&quot;" command="SELECT * FROM [PR_StdPrt]"/>
  </connection>
  <connection id="14" xr16:uid="{C5CB446E-8E2A-42F5-9757-3AA48E364B22}" keepAlive="1" name="Query - REST_CstmPrt" description="Connection to the 'REST_CstmPrt' query in the workbook." type="5" refreshedVersion="0" background="1">
    <dbPr connection="Provider=Microsoft.Mashup.OleDb.1;Data Source=$Workbook$;Location=REST_CstmPrt;Extended Properties=&quot;&quot;" command="SELECT * FROM [REST_CstmPrt]"/>
  </connection>
  <connection id="15" xr16:uid="{51E9E10A-4A69-4870-B70E-4CA3E80DB383}" keepAlive="1" name="Query - REST_StdPrt" description="Connection to the 'REST_StdPrt' query in the workbook." type="5" refreshedVersion="0" background="1">
    <dbPr connection="Provider=Microsoft.Mashup.OleDb.1;Data Source=$Workbook$;Location=REST_StdPrt;Extended Properties=&quot;&quot;" command="SELECT * FROM [REST_StdPrt]"/>
  </connection>
  <connection id="16" xr16:uid="{2A2C79F5-48CA-4E8A-90BF-FA6C7B53A61F}" keepAlive="1" name="Query - RV_CstmPrt" description="Connection to the 'RV_CstmPrt' query in the workbook." type="5" refreshedVersion="0" background="1">
    <dbPr connection="Provider=Microsoft.Mashup.OleDb.1;Data Source=$Workbook$;Location=RV_CstmPrt;Extended Properties=&quot;&quot;" command="SELECT * FROM [RV_CstmPrt]"/>
  </connection>
  <connection id="17" xr16:uid="{8E227C5C-2B71-4B13-8ED7-B4BD063CB0C2}" keepAlive="1" name="Query - RV_StdPrt" description="Connection to the 'RV_StdPrt' query in the workbook." type="5" refreshedVersion="0" background="1">
    <dbPr connection="Provider=Microsoft.Mashup.OleDb.1;Data Source=$Workbook$;Location=RV_StdPrt;Extended Properties=&quot;&quot;" command="SELECT * FROM [RV_StdPrt]"/>
  </connection>
  <connection id="18" xr16:uid="{7F69BE9C-ECD9-4819-8443-7B90C2CA618A}" keepAlive="1" name="Query - SE_CstmPrt" description="Connection to the 'SE_CstmPrt' query in the workbook." type="5" refreshedVersion="0" background="1">
    <dbPr connection="Provider=Microsoft.Mashup.OleDb.1;Data Source=$Workbook$;Location=SE_CstmPrt;Extended Properties=&quot;&quot;" command="SELECT * FROM [SE_CstmPrt]"/>
  </connection>
  <connection id="19" xr16:uid="{ADE93706-0E0C-4F0F-9C04-9CB2C047E656}" keepAlive="1" name="Query - SE_StdPrt" description="Connection to the 'SE_StdPrt' query in the workbook." type="5" refreshedVersion="0" background="1">
    <dbPr connection="Provider=Microsoft.Mashup.OleDb.1;Data Source=$Workbook$;Location=SE_StdPrt;Extended Properties=&quot;&quot;" command="SELECT * FROM [SE_StdPrt]"/>
  </connection>
  <connection id="20" xr16:uid="{6CE2B6D2-A541-473F-BF2C-2B37BED4094F}" keepAlive="1" name="Query - SF_CstmPrt" description="Connection to the 'SF_CstmPrt' query in the workbook." type="5" refreshedVersion="0" background="1">
    <dbPr connection="Provider=Microsoft.Mashup.OleDb.1;Data Source=$Workbook$;Location=SF_CstmPrt;Extended Properties=&quot;&quot;" command="SELECT * FROM [SF_CstmPrt]"/>
  </connection>
  <connection id="21" xr16:uid="{59C9CACC-37E0-4F7F-A444-03CEA3CFCFDA}" keepAlive="1" name="Query - SF_StdPrt" description="Connection to the 'SF_StdPrt' query in the workbook." type="5" refreshedVersion="0" background="1">
    <dbPr connection="Provider=Microsoft.Mashup.OleDb.1;Data Source=$Workbook$;Location=SF_StdPrt;Extended Properties=&quot;&quot;" command="SELECT * FROM [SF_StdPrt]"/>
  </connection>
  <connection id="22" xr16:uid="{AACCFC31-8638-44BD-80A4-7B62F230A518}" keepAlive="1" name="Query - TS_CstmPrt" description="Connection to the 'TS_CstmPrt' query in the workbook." type="5" refreshedVersion="0" background="1">
    <dbPr connection="Provider=Microsoft.Mashup.OleDb.1;Data Source=$Workbook$;Location=TS_CstmPrt;Extended Properties=&quot;&quot;" command="SELECT * FROM [TS_CstmPrt]"/>
  </connection>
  <connection id="23" xr16:uid="{07BF3E12-B1F8-4FB0-8518-F9B3193E4489}" keepAlive="1" name="Query - TS_StdPrt" description="Connection to the 'TS_StdPrt' query in the workbook." type="5" refreshedVersion="0" background="1">
    <dbPr connection="Provider=Microsoft.Mashup.OleDb.1;Data Source=$Workbook$;Location=TS_StdPrt;Extended Properties=&quot;&quot;" command="SELECT * FROM [TS_StdPrt]"/>
  </connection>
</connections>
</file>

<file path=xl/sharedStrings.xml><?xml version="1.0" encoding="utf-8"?>
<sst xmlns="http://schemas.openxmlformats.org/spreadsheetml/2006/main" count="1114" uniqueCount="397">
  <si>
    <t>Part Number</t>
  </si>
  <si>
    <t>Descriptive Name</t>
  </si>
  <si>
    <t>Manufacturer</t>
  </si>
  <si>
    <t>Price Per Unit</t>
  </si>
  <si>
    <t>item</t>
  </si>
  <si>
    <t>igus</t>
  </si>
  <si>
    <t>SKF</t>
  </si>
  <si>
    <t>olibetta</t>
  </si>
  <si>
    <t>0.0.370.09</t>
  </si>
  <si>
    <t>0.0.437.46</t>
  </si>
  <si>
    <t>Ball Bearing Axial</t>
  </si>
  <si>
    <t>BB-626TW-B180-ES</t>
  </si>
  <si>
    <t>Ball Bearing</t>
  </si>
  <si>
    <t>BB-685-B180-30-ES</t>
  </si>
  <si>
    <t>BN610-1032658</t>
  </si>
  <si>
    <t>M3x20 Screw Hex Socket</t>
  </si>
  <si>
    <t>BN610-1233114</t>
  </si>
  <si>
    <t>M3x8 Screw Hex Socket</t>
  </si>
  <si>
    <t>BN616-1076469</t>
  </si>
  <si>
    <t>M3x8 Screw Hex Countersunk</t>
  </si>
  <si>
    <t>BN616-1208187</t>
  </si>
  <si>
    <t>M5x8 Screw Hex Countersunk</t>
  </si>
  <si>
    <t>BN628-1241443</t>
  </si>
  <si>
    <t>M3 Hex Nut</t>
  </si>
  <si>
    <t>BN715-1777491</t>
  </si>
  <si>
    <t>Flat Washer M3</t>
  </si>
  <si>
    <t>BN37885-3794588</t>
  </si>
  <si>
    <t>M3 Threaded Insert</t>
  </si>
  <si>
    <t>S-10-05-N52N</t>
  </si>
  <si>
    <t>Magnet Cylinder</t>
  </si>
  <si>
    <t>0.0.425.11</t>
  </si>
  <si>
    <t>Thrust Washer</t>
  </si>
  <si>
    <t>XTM-0620-015</t>
  </si>
  <si>
    <t>Fishtank</t>
  </si>
  <si>
    <t>supermagnete</t>
  </si>
  <si>
    <t>626-2RSH</t>
  </si>
  <si>
    <t>Steel Ball Bearing</t>
  </si>
  <si>
    <t>CWC-TS0103-P03_Nozzle Wall Front</t>
  </si>
  <si>
    <t>CWC-TS0104-P03_Nozzle Wall Rear</t>
  </si>
  <si>
    <t>CWC-TS0105-P03_Nozzle Floor</t>
  </si>
  <si>
    <t xml:space="preserve"> </t>
  </si>
  <si>
    <t>Amount</t>
  </si>
  <si>
    <t>PLA</t>
  </si>
  <si>
    <t>-</t>
  </si>
  <si>
    <t>CWC-RV0013-P03_Vanes Cover Side Lower Front</t>
  </si>
  <si>
    <t>CWC-RV0014-P03_Vanes Cover Side Lower Rear</t>
  </si>
  <si>
    <t>CWC-RV0016-P03_Vanes Cover Front</t>
  </si>
  <si>
    <t>CWC-RV0026-P03_MagCoupling Propeller Tip</t>
  </si>
  <si>
    <t>BN630-1241826</t>
  </si>
  <si>
    <t>CWC-RV0032-P03_PropCowling Bearing Holder</t>
  </si>
  <si>
    <t>CWC-RV0033-P03_PropCowling Foil L</t>
  </si>
  <si>
    <t>CWC-RV0034-P03_PropCowling Foil R</t>
  </si>
  <si>
    <t>CWC-RV0035-P03_PropCowling Foil Top</t>
  </si>
  <si>
    <t>CWC-RV0036-P03_PropCowling Foil Bot</t>
  </si>
  <si>
    <t>CWC-RV0031-P03_PropCowling</t>
  </si>
  <si>
    <t>CWC-LV0011-P03_Vanes Cover Side Lower Rear</t>
  </si>
  <si>
    <t>CWC-LV0012-P03_Vanes Cover Side Lower Front</t>
  </si>
  <si>
    <t>Hex Nut M3 thin</t>
  </si>
  <si>
    <t>Bridgelux</t>
  </si>
  <si>
    <t>daA1440-220um</t>
  </si>
  <si>
    <t>Camera "Dart"</t>
  </si>
  <si>
    <t>Basler</t>
  </si>
  <si>
    <t>C125-2522-5M</t>
  </si>
  <si>
    <t>ST1006</t>
  </si>
  <si>
    <t>Connector MicroFit 2x2 Socket</t>
  </si>
  <si>
    <t>Molex</t>
  </si>
  <si>
    <t>Siemens</t>
  </si>
  <si>
    <t>5SY4102-7</t>
  </si>
  <si>
    <t>DIN Rail 35 x 7.5</t>
  </si>
  <si>
    <t>Phoenix Contact</t>
  </si>
  <si>
    <t>BXDR-46LT-U214A-01-A-12</t>
  </si>
  <si>
    <t>2002-3217</t>
  </si>
  <si>
    <t>WAGO</t>
  </si>
  <si>
    <t>USB Hub</t>
  </si>
  <si>
    <t>EX-11244HMS</t>
  </si>
  <si>
    <t>ST1003</t>
  </si>
  <si>
    <t>ST1004</t>
  </si>
  <si>
    <t>ST1007</t>
  </si>
  <si>
    <t>ST1008</t>
  </si>
  <si>
    <t>ST1009</t>
  </si>
  <si>
    <t>Electric Motor</t>
  </si>
  <si>
    <t>ST1005</t>
  </si>
  <si>
    <t>per meter</t>
  </si>
  <si>
    <t>+</t>
  </si>
  <si>
    <t>for cutting</t>
  </si>
  <si>
    <t>CWC-SP0010-P01_CornerClip Male</t>
  </si>
  <si>
    <t>CWC-SP0011-P01_CornerClip Female</t>
  </si>
  <si>
    <t>CWC-SP0012-P01_item PlatformClip Rail Adapter</t>
  </si>
  <si>
    <t>item Bar cost:</t>
  </si>
  <si>
    <t>CWC-ST0001-A04_Support Frame</t>
  </si>
  <si>
    <t>CWC-EL0000-A02_Electronics Box Assembly</t>
  </si>
  <si>
    <t>CWC-EL0002-A02_Electronics item frame assembly</t>
  </si>
  <si>
    <t>CWC-EL0003-P02_Cover Rear</t>
  </si>
  <si>
    <t>CWC-EL0004-P02_Cover Floor</t>
  </si>
  <si>
    <t>CWC-EL0005-P02_Cover Plexi Front</t>
  </si>
  <si>
    <t>CWC-EL0006-P02_Cover Mains</t>
  </si>
  <si>
    <t>CWC-EL0007-P02_Cover Plexi Top</t>
  </si>
  <si>
    <t>CWC-EL0008-P02_LED Driver Base 1</t>
  </si>
  <si>
    <t>CWC-EL0009-P02_LED Driver Base 2</t>
  </si>
  <si>
    <t>CWC-EL0010-P02_LED Driver Clip</t>
  </si>
  <si>
    <t>CWC-EL0011-P02_TorqueAmp Holder Bot</t>
  </si>
  <si>
    <t>CWC-EL0012-P02_TorqueAmp Holder Top</t>
  </si>
  <si>
    <t>CWC-EL0013-P02_Cover Connectors</t>
  </si>
  <si>
    <t>CWC-EL0014-P02_Kvaser CAN Tranciever Holder</t>
  </si>
  <si>
    <t>CWC-EL0015-P02_Cable Duct Holder</t>
  </si>
  <si>
    <t>CWC-LV0010-A04_Turning Vane Block Assembly</t>
  </si>
  <si>
    <t>CWC-LV0013-P04_Vanes Cover Side Upper Rear</t>
  </si>
  <si>
    <t>CWC-LV0014-P04_Vanes Cover Side Upper Front</t>
  </si>
  <si>
    <t>CWC-LV0110-A04_Left Turning Vane Complete Assembly</t>
  </si>
  <si>
    <t>CWC-PR0001-P04_Snap Holder</t>
  </si>
  <si>
    <t>CWC-PR0002-P04_Connector Structure</t>
  </si>
  <si>
    <t>CWC-PR0003-P04_Motor Magnet Holder</t>
  </si>
  <si>
    <t>CWC-PR0004-P04_PCB Holder</t>
  </si>
  <si>
    <t>CWC-PR0005-P04_Motor BUS PCB</t>
  </si>
  <si>
    <t>CWC-PR0010-A04_Propulsion Assembly</t>
  </si>
  <si>
    <t>CWC-PR0011-A04_Motor BUS PCB Assembly</t>
  </si>
  <si>
    <t>CWC-RV0010-A04_Turning Vanes Assembly</t>
  </si>
  <si>
    <t>CWC-RV0011-P04_Vanes Cover Side Upper Front</t>
  </si>
  <si>
    <t>CWC-RV0012-P04_Vanes Cover Side Upper Rear</t>
  </si>
  <si>
    <t>CWC-RV0020-A04_MagCoupling Assembly</t>
  </si>
  <si>
    <t>CWC-RV0022-P04_MagCoupling Magnet Holder</t>
  </si>
  <si>
    <t>CWC-RV0024-P04_MagCoupling Cover</t>
  </si>
  <si>
    <t>CWC-RV0025-P04_MagCoupling Axle</t>
  </si>
  <si>
    <t>CWC-RV0030-A04_PropCowling Assembly</t>
  </si>
  <si>
    <t>CWC-RV0100-A04_Right Turning Vane Block Assembly</t>
  </si>
  <si>
    <t>CWC-RV0101-A04_Right Turning Vane Complete Assembly</t>
  </si>
  <si>
    <t>CWC-SE0001-P04_Sensing Baseplate</t>
  </si>
  <si>
    <t>CWC-SE0002-P04_Sensing Frame</t>
  </si>
  <si>
    <t>CWC-SE0003-P04_Sensing Adapter Plate</t>
  </si>
  <si>
    <t>CWC-SE0004-P04_Bearing Holder fwd</t>
  </si>
  <si>
    <t>CWC-SE0006-P04_Sensing Cylinder</t>
  </si>
  <si>
    <t>CWC-SE0007-P04_Torque Sensor Tub TD70</t>
  </si>
  <si>
    <t>CWC-SE0008-P04_Torque Sensor Holder TD70</t>
  </si>
  <si>
    <t>CWC-SE0009-P04_Torque Sensor Axle TD70</t>
  </si>
  <si>
    <t>CWC-SE0010-P04_Torque Sensor TD70 Assembly</t>
  </si>
  <si>
    <t>CWC-SE0011-P04_Torque Sensor Tub TD50</t>
  </si>
  <si>
    <t>CWC-SE0012-P04_Torque Sensor Holder TD50</t>
  </si>
  <si>
    <t>CWC-SE0013-P04_Torque Sensor Axle TD50</t>
  </si>
  <si>
    <t>CWC-SE0014-P04_Torque Sensor TD50 Assembly</t>
  </si>
  <si>
    <t>CWC-SE0100-A04_Sensing Assembly</t>
  </si>
  <si>
    <t>CWC-SP0004-P01_item panelClip</t>
  </si>
  <si>
    <t>CWC-SP0008-P01_CamSupport short</t>
  </si>
  <si>
    <t>CWC-SP0013-P01_item PlatformClip Platform Adapter</t>
  </si>
  <si>
    <t>CWC-SP0014-P01_item PlatformClip Platform Adapter Mirrored</t>
  </si>
  <si>
    <t>CWC-SP0015-P01_item ColumnClip</t>
  </si>
  <si>
    <t>CWC-ST0003-P01_LTV Assembly Ruler</t>
  </si>
  <si>
    <t>CWC-ST0004-P01_RTV Assembly Ruler</t>
  </si>
  <si>
    <t>CWC-TS0100-A04_Test Section Assembly</t>
  </si>
  <si>
    <t>CWC-TS0101-P04_Plexiglass Floor front</t>
  </si>
  <si>
    <t>CWC-TS0102-P04_Plexiglass Floor back</t>
  </si>
  <si>
    <t>CWC-TS0106-P04_TS Holder Front</t>
  </si>
  <si>
    <t>CWC-TS0108-P04_Diffuser Wall Front</t>
  </si>
  <si>
    <t>CWC-TS0109-P04_Diffuser Wall Rear</t>
  </si>
  <si>
    <t>CWC-TS0110-P04_Honeycomb</t>
  </si>
  <si>
    <t>CWC-TS0112-P04_Nozzle Wall Clip Front</t>
  </si>
  <si>
    <t>CWC-TS0113-P04_Nozzle Wall Clip Rear</t>
  </si>
  <si>
    <t>CWC-TS0114-P04_Diffuser Floor Front</t>
  </si>
  <si>
    <t>CWC-TS0115-P04_Diffuser Floor Rear</t>
  </si>
  <si>
    <t>CWC-TS0116-A04_Test Section Support Structure</t>
  </si>
  <si>
    <t>CWC-TS0117-A04_Honeycombs Assembly</t>
  </si>
  <si>
    <t>CWC-VI0002-A02_Illumination Assembly</t>
  </si>
  <si>
    <t>CWC-VI0003-P02_item Notched index 1</t>
  </si>
  <si>
    <t>CWC-VI0004-P02_item Notched index 2</t>
  </si>
  <si>
    <t>CWC-VI0005-P02_item Notched slider 1</t>
  </si>
  <si>
    <t>CWC-VI0006-P02_item Notched slider 2</t>
  </si>
  <si>
    <t>CWC-VI0007-P02_LED Strip Holder 1</t>
  </si>
  <si>
    <t>CWC-VI0008-P02_LED Strip Holder 2</t>
  </si>
  <si>
    <t>CWC-VI0009-P02_LED Strip Plug</t>
  </si>
  <si>
    <t>CWC-VI0010-A02_Camera Holder Assembly</t>
  </si>
  <si>
    <t>CWC-VI0011-P02_Camera Rail Adapter</t>
  </si>
  <si>
    <t>CWC-VI0012-P02_Camera Holder</t>
  </si>
  <si>
    <t>Amount (CAD)</t>
  </si>
  <si>
    <t>Amount (BoM)</t>
  </si>
  <si>
    <t>M2.5x5 Hex Socket Screw</t>
  </si>
  <si>
    <t>BN616-1235206</t>
  </si>
  <si>
    <t>M4x12 Screw Hex Countersunk</t>
  </si>
  <si>
    <t>233-9187</t>
  </si>
  <si>
    <t>Cable Duct</t>
  </si>
  <si>
    <t>RS Pro</t>
  </si>
  <si>
    <t>Circuit Breaker</t>
  </si>
  <si>
    <t>Connector MicroFit 1x2 Socket</t>
  </si>
  <si>
    <t>0436400400</t>
  </si>
  <si>
    <t>Connector MicroFit 1x4 Socket</t>
  </si>
  <si>
    <t xml:space="preserve">LED Driver </t>
  </si>
  <si>
    <t xml:space="preserve">LED Strip </t>
  </si>
  <si>
    <t>Lens 25 mm</t>
  </si>
  <si>
    <t>RMD-L-4010-EU</t>
  </si>
  <si>
    <t xml:space="preserve">MyActuator </t>
  </si>
  <si>
    <t>Power Supply 5V</t>
  </si>
  <si>
    <t>Weidmüller</t>
  </si>
  <si>
    <t>240-124</t>
  </si>
  <si>
    <t>Power Supply 24V</t>
  </si>
  <si>
    <t>Traco Power</t>
  </si>
  <si>
    <t>Terminal Block</t>
  </si>
  <si>
    <t>Exsys</t>
  </si>
  <si>
    <t>SP0011</t>
  </si>
  <si>
    <t>SP0010</t>
  </si>
  <si>
    <t>SP0012</t>
  </si>
  <si>
    <t>SP0015</t>
  </si>
  <si>
    <t>TS0101</t>
  </si>
  <si>
    <t>TS0102</t>
  </si>
  <si>
    <t>TS0106</t>
  </si>
  <si>
    <t>TS0114</t>
  </si>
  <si>
    <t>TS0115</t>
  </si>
  <si>
    <t>TS0112</t>
  </si>
  <si>
    <t>TS0113</t>
  </si>
  <si>
    <t>SP0013</t>
  </si>
  <si>
    <t>SP0014</t>
  </si>
  <si>
    <t>TS0110</t>
  </si>
  <si>
    <t>TS0103</t>
  </si>
  <si>
    <t>TS0104</t>
  </si>
  <si>
    <t>TS0105</t>
  </si>
  <si>
    <t>TS0108</t>
  </si>
  <si>
    <t>TS0109</t>
  </si>
  <si>
    <t>RV0011</t>
  </si>
  <si>
    <t>RV0012</t>
  </si>
  <si>
    <t>RV0013</t>
  </si>
  <si>
    <t>RV0014</t>
  </si>
  <si>
    <t>RV0016</t>
  </si>
  <si>
    <t>BN610-1421506</t>
  </si>
  <si>
    <t>RV0022</t>
  </si>
  <si>
    <t>RV0024</t>
  </si>
  <si>
    <t>RV0025</t>
  </si>
  <si>
    <t>RV0031</t>
  </si>
  <si>
    <t>RV0032</t>
  </si>
  <si>
    <t>RV0033</t>
  </si>
  <si>
    <t>RV0034</t>
  </si>
  <si>
    <t>RV0035</t>
  </si>
  <si>
    <t>RV0036</t>
  </si>
  <si>
    <t>LV0011</t>
  </si>
  <si>
    <t>LV0012</t>
  </si>
  <si>
    <t>LV0013</t>
  </si>
  <si>
    <t>LV0014</t>
  </si>
  <si>
    <t>TD50</t>
  </si>
  <si>
    <t>Torque Sensor</t>
  </si>
  <si>
    <t>Transmetra</t>
  </si>
  <si>
    <t>TD70</t>
  </si>
  <si>
    <t>Connector PCB MicroFit 2x2 Socket</t>
  </si>
  <si>
    <t>S6B-ZR</t>
  </si>
  <si>
    <t>Connector 1x6 Socket</t>
  </si>
  <si>
    <t>JST</t>
  </si>
  <si>
    <t>BN610-1233262</t>
  </si>
  <si>
    <t>M5x8 Screw Hex Socket</t>
  </si>
  <si>
    <t>Bossard</t>
  </si>
  <si>
    <t>ST1001</t>
  </si>
  <si>
    <t>ST1002</t>
  </si>
  <si>
    <t>DC11.0001.003</t>
  </si>
  <si>
    <t>Schulter</t>
  </si>
  <si>
    <t>Connector Mains Power</t>
  </si>
  <si>
    <t>EL0006</t>
  </si>
  <si>
    <t>EL0014</t>
  </si>
  <si>
    <t>BXEB-TL-L0280Z-27xxS1000-B-C3</t>
  </si>
  <si>
    <t>PR0001</t>
  </si>
  <si>
    <t>PR0002</t>
  </si>
  <si>
    <t>PR0003</t>
  </si>
  <si>
    <t>SP0008</t>
  </si>
  <si>
    <t>PVC Tape, 3 mm x 6 mm</t>
  </si>
  <si>
    <t>205-0805</t>
  </si>
  <si>
    <t>R+W</t>
  </si>
  <si>
    <t>Miniaturbalgkupplung</t>
  </si>
  <si>
    <t>MK1 10 22 5mm 6mm</t>
  </si>
  <si>
    <t>Total</t>
  </si>
  <si>
    <t>Print Time</t>
  </si>
  <si>
    <t>acrylic</t>
  </si>
  <si>
    <t>Steel</t>
  </si>
  <si>
    <t>PCB</t>
  </si>
  <si>
    <t>Stainless Steel</t>
  </si>
  <si>
    <t>Aluminium</t>
  </si>
  <si>
    <t xml:space="preserve">BN610-5511882 </t>
  </si>
  <si>
    <t>M2x20 Screw Hex Socket</t>
  </si>
  <si>
    <t xml:space="preserve">BN630-1241796 </t>
  </si>
  <si>
    <t>Hex Nut M2 thin</t>
  </si>
  <si>
    <t>item Frame lower width (L = 346 mm)</t>
  </si>
  <si>
    <t>item EleBox sides (L = 200 mm)</t>
  </si>
  <si>
    <t>item Frame Outside Length (L = 946 mm)</t>
  </si>
  <si>
    <t>item Frame Outside Width (L = 306 mm)</t>
  </si>
  <si>
    <t>item Frame Outside Height (L = 206 mm)</t>
  </si>
  <si>
    <t>Frame Inside Width (L = 275 mm)</t>
  </si>
  <si>
    <t>item Frame TS Column (L = 141.5 mm)</t>
  </si>
  <si>
    <t>item Frame TS Length (L = 490 mm)</t>
  </si>
  <si>
    <t>item Frame TS Width (L = 240 mm)</t>
  </si>
  <si>
    <t>CWC-EL0016-P02_BigLED Holder Short</t>
  </si>
  <si>
    <t>CWC-EL0017-P02_BigLED Holder Tall</t>
  </si>
  <si>
    <t>EL</t>
  </si>
  <si>
    <t>BXDR-60LT-U220P-01-A</t>
  </si>
  <si>
    <t>Total Cost</t>
  </si>
  <si>
    <t>Assembly Level</t>
  </si>
  <si>
    <t>TS0100</t>
  </si>
  <si>
    <t>Custom</t>
  </si>
  <si>
    <t>x</t>
  </si>
  <si>
    <t>1</t>
  </si>
  <si>
    <t>2</t>
  </si>
  <si>
    <t>3</t>
  </si>
  <si>
    <t>4</t>
  </si>
  <si>
    <t>Length (Alu Profiles)</t>
  </si>
  <si>
    <t>TS0116</t>
  </si>
  <si>
    <t>TS0117</t>
  </si>
  <si>
    <t>ST0001</t>
  </si>
  <si>
    <t>RV0101</t>
  </si>
  <si>
    <t>RV0100</t>
  </si>
  <si>
    <t>RV0010</t>
  </si>
  <si>
    <t>5</t>
  </si>
  <si>
    <t>RV0020</t>
  </si>
  <si>
    <t>RV0026</t>
  </si>
  <si>
    <t>80mm</t>
  </si>
  <si>
    <t>Propeller</t>
  </si>
  <si>
    <t>Apisqueen</t>
  </si>
  <si>
    <t>RV0030</t>
  </si>
  <si>
    <t>LV0110</t>
  </si>
  <si>
    <t>LV0010</t>
  </si>
  <si>
    <t>PR0010</t>
  </si>
  <si>
    <t>EL0000</t>
  </si>
  <si>
    <t>EL0018</t>
  </si>
  <si>
    <t>CWC-EL0006-P99_TorqueAmp Holder</t>
  </si>
  <si>
    <t>CWC-EL0018-P03_Connectors Plate</t>
  </si>
  <si>
    <t>CWC-EL0019-P03_Connector Labels</t>
  </si>
  <si>
    <t>CWC-EL0020-P03_MOLEX Plate</t>
  </si>
  <si>
    <t>DC11.0021.001</t>
  </si>
  <si>
    <t>PML50SGFVW</t>
  </si>
  <si>
    <t>PML50SRFVW</t>
  </si>
  <si>
    <t>DMS GSV3USB</t>
  </si>
  <si>
    <t>EL0019</t>
  </si>
  <si>
    <t>EL0020</t>
  </si>
  <si>
    <t>NSYS3D6420</t>
  </si>
  <si>
    <t>EL0021</t>
  </si>
  <si>
    <t>Leaf Light V2</t>
  </si>
  <si>
    <t>MU 013c</t>
  </si>
  <si>
    <t>BN670-1253212</t>
  </si>
  <si>
    <t>Part</t>
  </si>
  <si>
    <t>Part [CHF]</t>
  </si>
  <si>
    <t>Comment</t>
  </si>
  <si>
    <t>450 mm long</t>
  </si>
  <si>
    <t>416 mm long</t>
  </si>
  <si>
    <t>Part Cost</t>
  </si>
  <si>
    <t>Part [hh:mm]</t>
  </si>
  <si>
    <t xml:space="preserve">Total [CHF]  </t>
  </si>
  <si>
    <t xml:space="preserve">Total[hh:mm] </t>
  </si>
  <si>
    <t>Helper</t>
  </si>
  <si>
    <t>Assy-Lvl</t>
  </si>
  <si>
    <t>CWC-EL0021-P03_Build Plate</t>
  </si>
  <si>
    <t>Torque Sensor Amplifier</t>
  </si>
  <si>
    <t>Circuit Breaker 13A</t>
  </si>
  <si>
    <t>Hager</t>
  </si>
  <si>
    <t>Connector AC Power</t>
  </si>
  <si>
    <t>Schurter</t>
  </si>
  <si>
    <t>USB C Panel Connector</t>
  </si>
  <si>
    <t>Adafruit</t>
  </si>
  <si>
    <t>Connector MicroFit 1x3 Socket</t>
  </si>
  <si>
    <t xml:space="preserve">Connector MicroFit 1x4 Socket </t>
  </si>
  <si>
    <t>Connector MiniFit 1x2 Socket</t>
  </si>
  <si>
    <t>DIN Rail Adapter USA 10 Series</t>
  </si>
  <si>
    <t>Electronics Cabinet 600x400</t>
  </si>
  <si>
    <t>Schneider Electric</t>
  </si>
  <si>
    <t xml:space="preserve">Panel LED Green </t>
  </si>
  <si>
    <t>VCC</t>
  </si>
  <si>
    <t xml:space="preserve">Panel LED Red  </t>
  </si>
  <si>
    <t>USB-to-CAN Interface</t>
  </si>
  <si>
    <t>Kvaser</t>
  </si>
  <si>
    <t>Flat Washer M5</t>
  </si>
  <si>
    <t>TorqueAmp Holder</t>
  </si>
  <si>
    <t>ADD-ONS</t>
  </si>
  <si>
    <t>CWC-SE0017-P04_Cable Relaxer</t>
  </si>
  <si>
    <t>CWC-SE0018-P04_Plate Securing Pin</t>
  </si>
  <si>
    <t>SE0100</t>
  </si>
  <si>
    <t>SE0001</t>
  </si>
  <si>
    <t>SE0002</t>
  </si>
  <si>
    <t>SE0003</t>
  </si>
  <si>
    <t>SE0006</t>
  </si>
  <si>
    <t>PR0004</t>
  </si>
  <si>
    <t>PR0011</t>
  </si>
  <si>
    <t>SE0010</t>
  </si>
  <si>
    <t>SE0007</t>
  </si>
  <si>
    <t>SE0008</t>
  </si>
  <si>
    <t>SE0009</t>
  </si>
  <si>
    <t>SE0014</t>
  </si>
  <si>
    <t>SE0011</t>
  </si>
  <si>
    <t>SE0012</t>
  </si>
  <si>
    <t>SE0013</t>
  </si>
  <si>
    <t>SE0004</t>
  </si>
  <si>
    <t>MBK 60151806</t>
  </si>
  <si>
    <t>SE0017</t>
  </si>
  <si>
    <t>SE0018</t>
  </si>
  <si>
    <t>Maeder</t>
  </si>
  <si>
    <t>Metal Bellows Coupling</t>
  </si>
  <si>
    <t>Cap Profil 5</t>
  </si>
  <si>
    <t>T-slotNnut M5 Profil 5</t>
  </si>
  <si>
    <t>Automatic-Fastening Set  Profil 5</t>
  </si>
  <si>
    <t>CWC-SE0016-P04_Elevated Platform Screws</t>
  </si>
  <si>
    <t>CWC-ST1010-P04_item Frame Standoff</t>
  </si>
  <si>
    <t>CWC-ST1011-P04_item Frame Sensing Platform Width</t>
  </si>
  <si>
    <t>SE0016</t>
  </si>
  <si>
    <t>ST1010</t>
  </si>
  <si>
    <t>ST1011</t>
  </si>
  <si>
    <t>0.0.677.77</t>
  </si>
  <si>
    <t>item Frame Standoff (L = 50 mm)</t>
  </si>
  <si>
    <t>item Frame Sensing Platform Width (L = 550 mm)</t>
  </si>
  <si>
    <t>90°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</si>
</sst>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0\ &quot;mm&quot;"/>
    <numFmt numFmtId="165" formatCode="[h]\ &quot;h&quot;\ mm\ &quot;min&quot;"/>
    <numFmt numFmtId="166" formatCode="[&lt;0.001]\-;[&gt;=0.001][h]&quot;h&quot;\ mm\ &quot;min&quot;"/>
    <numFmt numFmtId="167" formatCode="[&lt;0.01]\-;[&gt;=0.01]#,##0.00\ [$CHF]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0" fillId="0" borderId="0" xfId="0" quotePrefix="1" applyAlignment="1">
      <alignment horizontal="left"/>
    </xf>
    <xf numFmtId="0" fontId="0" fillId="0" borderId="0" xfId="1" applyNumberFormat="1" applyFont="1"/>
    <xf numFmtId="44" fontId="0" fillId="0" borderId="0" xfId="0" applyNumberFormat="1"/>
    <xf numFmtId="165" fontId="0" fillId="0" borderId="0" xfId="1" applyNumberFormat="1" applyFont="1" applyAlignment="1">
      <alignment horizontal="left"/>
    </xf>
    <xf numFmtId="0" fontId="0" fillId="2" borderId="1" xfId="0" applyFill="1" applyBorder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right" vertical="center"/>
    </xf>
    <xf numFmtId="166" fontId="0" fillId="0" borderId="0" xfId="0" applyNumberFormat="1"/>
    <xf numFmtId="167" fontId="0" fillId="0" borderId="0" xfId="1" applyNumberFormat="1" applyFont="1" applyAlignment="1">
      <alignment horizontal="right"/>
    </xf>
    <xf numFmtId="167" fontId="0" fillId="0" borderId="0" xfId="1" applyNumberFormat="1" applyFont="1"/>
    <xf numFmtId="0" fontId="5" fillId="4" borderId="0" xfId="0" applyFont="1" applyFill="1" applyAlignment="1">
      <alignment horizontal="center" vertical="center"/>
    </xf>
    <xf numFmtId="49" fontId="0" fillId="0" borderId="0" xfId="0" applyNumberFormat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NumberFormat="1"/>
  </cellXfs>
  <cellStyles count="3">
    <cellStyle name="Currency" xfId="1" builtinId="4"/>
    <cellStyle name="Normal" xfId="0" builtinId="0"/>
    <cellStyle name="Normal 2" xfId="2" xr:uid="{2410A5A1-1426-4BAF-A90C-D38326100AA3}"/>
  </cellStyles>
  <dxfs count="47">
    <dxf>
      <font>
        <color theme="0"/>
      </font>
      <fill>
        <patternFill>
          <bgColor theme="3" tint="9.9948118533890809E-2"/>
        </patternFill>
      </fill>
    </dxf>
    <dxf>
      <font>
        <color theme="0"/>
      </font>
      <fill>
        <patternFill>
          <bgColor theme="3" tint="0.24994659260841701"/>
        </patternFill>
      </fill>
    </dxf>
    <dxf>
      <font>
        <color theme="1"/>
      </font>
      <fill>
        <patternFill>
          <bgColor theme="3" tint="0.499984740745262"/>
        </patternFill>
      </fill>
    </dxf>
    <dxf>
      <font>
        <color theme="1"/>
      </font>
      <fill>
        <patternFill>
          <bgColor theme="3" tint="0.749961851863155"/>
        </patternFill>
      </fill>
    </dxf>
    <dxf>
      <font>
        <b/>
        <i val="0"/>
        <color theme="0"/>
      </font>
      <fill>
        <patternFill>
          <bgColor theme="3" tint="9.9948118533890809E-2"/>
        </patternFill>
      </fill>
      <border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3" tint="0.24994659260841701"/>
        </patternFill>
      </fill>
      <border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3" tint="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3" tint="0.74996185186315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3" tint="9.9948118533890809E-2"/>
        </patternFill>
      </fill>
    </dxf>
    <dxf>
      <font>
        <color theme="0"/>
      </font>
      <fill>
        <patternFill>
          <bgColor theme="3" tint="0.24994659260841701"/>
        </patternFill>
      </fill>
    </dxf>
    <dxf>
      <font>
        <color theme="1"/>
      </font>
      <fill>
        <patternFill>
          <bgColor theme="3" tint="0.499984740745262"/>
        </patternFill>
      </fill>
    </dxf>
    <dxf>
      <font>
        <color theme="1"/>
      </font>
      <fill>
        <patternFill>
          <bgColor theme="3" tint="0.749961851863155"/>
        </patternFill>
      </fill>
    </dxf>
    <dxf>
      <font>
        <b/>
        <i val="0"/>
        <color theme="0"/>
      </font>
      <fill>
        <patternFill>
          <bgColor theme="3" tint="9.9948118533890809E-2"/>
        </patternFill>
      </fill>
      <border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3" tint="0.24994659260841701"/>
        </patternFill>
      </fill>
      <border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3" tint="0.499984740745262"/>
        </patternFill>
      </fill>
      <border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3" tint="0.749961851863155"/>
        </patternFill>
      </fill>
      <border>
        <top style="thin">
          <color auto="1"/>
        </top>
        <bottom style="thin">
          <color auto="1"/>
        </bottom>
      </border>
    </dxf>
    <dxf>
      <numFmt numFmtId="0" formatCode="General"/>
    </dxf>
    <dxf>
      <numFmt numFmtId="0" formatCode="General"/>
    </dxf>
    <dxf>
      <numFmt numFmtId="164" formatCode="0\ &quot;mm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6" formatCode="[&lt;0.001]\-;[&gt;=0.001][h]&quot;h&quot;\ mm\ &quot;min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7" formatCode="[&lt;0.01]\-;[&gt;=0.01]#,##0.00\ [$CHF]"/>
      <alignment horizontal="right" vertical="bottom" textRotation="0" wrapText="0" indent="0" justifyLastLine="0" shrinkToFit="0" readingOrder="0"/>
    </dxf>
    <dxf>
      <numFmt numFmtId="0" formatCode="General"/>
    </dxf>
    <dxf>
      <numFmt numFmtId="30" formatCode="@"/>
      <alignment horizontal="righ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numFmt numFmtId="166" formatCode="[&lt;0.001]\-;[&gt;=0.001][h]&quot;h&quot;\ mm\ &quot;min&quot;"/>
    </dxf>
    <dxf>
      <numFmt numFmtId="167" formatCode="[&lt;0.01]\-;[&gt;=0.01]#,##0.00\ [$CHF]"/>
    </dxf>
    <dxf>
      <numFmt numFmtId="165" formatCode="[h]\ &quot;h&quot;\ mm\ &quot;min&quot;"/>
    </dxf>
    <dxf>
      <numFmt numFmtId="165" formatCode="[h]\ &quot;h&quot;\ mm\ &quot;min&quot;"/>
    </dxf>
    <dxf>
      <numFmt numFmtId="167" formatCode="[&lt;0.01]\-;[&gt;=0.01]#,##0.00\ [$CHF]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right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4E291"/>
      <color rgb="FF55F955"/>
      <color rgb="FF7EE8AE"/>
      <color rgb="FFD2D5E0"/>
      <color rgb="FFB4CEDE"/>
      <color rgb="FFFDD05F"/>
      <color rgb="FFE1EE68"/>
      <color rgb="FF8199FF"/>
      <color rgb="FF90D7F0"/>
      <color rgb="FFFD8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E3BEFC-302C-43A7-8306-EFCA0F560AEC}" name="Indented_BoM" displayName="Indented_BoM" ref="A2:P168" totalsRowShown="0" headerRowDxfId="46">
  <autoFilter ref="A2:P168" xr:uid="{8DE3BEFC-302C-43A7-8306-EFCA0F560A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D628EB58-DB88-47BC-8944-8D1A9FED4630}" name="1" dataDxfId="45"/>
    <tableColumn id="2" xr3:uid="{9D1E2A9F-30D7-495B-8DA2-0B62789AA218}" name="2" dataDxfId="44"/>
    <tableColumn id="3" xr3:uid="{FD288A39-142D-4AF0-AB40-F92DDE3D11C2}" name="3" dataDxfId="43"/>
    <tableColumn id="4" xr3:uid="{4CE19212-DACE-4576-B097-FE713F7687B5}" name="4" dataDxfId="42"/>
    <tableColumn id="12" xr3:uid="{6E04CB13-A22E-451F-894C-FAC88592B1EC}" name="5" dataDxfId="41"/>
    <tableColumn id="5" xr3:uid="{84F0BC9C-6C1C-47D3-80F1-3D86F423736A}" name="Part Number" dataDxfId="40"/>
    <tableColumn id="6" xr3:uid="{01CCCC6C-8B17-406F-89C2-2176C7A3BDDB}" name="Descriptive Name" dataDxfId="39">
      <calculatedColumnFormula>_xlfn.XLOOKUP(Indented_BoM[[#This Row],[Part Number]], Catalogue_Components[Part Number], Catalogue_Components[Descriptive Name], "Component not found!")</calculatedColumnFormula>
    </tableColumn>
    <tableColumn id="7" xr3:uid="{13AB7A8F-7978-4FFA-B9DB-695E95082C32}" name="Manufacturer"/>
    <tableColumn id="8" xr3:uid="{EA8E18A7-F769-45A4-B410-9425C93DBD5F}" name="Part" dataDxfId="38"/>
    <tableColumn id="9" xr3:uid="{11DC3998-5410-4F5F-A843-646603261B04}" name="Total" dataDxfId="37"/>
    <tableColumn id="10" xr3:uid="{B82D1B79-EA2E-4F61-88B2-7937DD6632D5}" name="Part [CHF]" dataDxfId="36" dataCellStyle="Currency">
      <calculatedColumnFormula>_xlfn.XLOOKUP(Indented_BoM[[#This Row],[Part Number]], Catalogue_Components[Part Number], Catalogue_Components[Price Per Unit], "")</calculatedColumnFormula>
    </tableColumn>
    <tableColumn id="11" xr3:uid="{BF8FF79E-A1B1-4682-852A-6C366280EAC1}" name="Part [hh:mm]" dataDxfId="35">
      <calculatedColumnFormula>_xlfn.XLOOKUP(Indented_BoM[[#This Row],[Part Number]], Catalogue_Components[Part Number], Catalogue_Components[Print Time], "")</calculatedColumnFormula>
    </tableColumn>
    <tableColumn id="16" xr3:uid="{46CB3DCE-7D2C-4208-BFF4-A30BF91CDC15}" name="Comment" dataDxfId="34"/>
    <tableColumn id="15" xr3:uid="{446B57BD-9C06-44EE-BD23-85AF5F9D7250}" name="Total [CHF]  " dataDxfId="33" dataCellStyle="Currency">
      <calculatedColumnFormula>SUM(N4:N49)</calculatedColumnFormula>
    </tableColumn>
    <tableColumn id="14" xr3:uid="{93013D82-0B0C-4351-9CA3-8CD6E9B17CC4}" name="Total[hh:mm] " dataDxfId="32">
      <calculatedColumnFormula>IF(L3="", "", Indented_BoM[[#This Row],[Part '[hh:mm']]]*Indented_BoM[[#This Row],[Total]])</calculatedColumnFormula>
    </tableColumn>
    <tableColumn id="18" xr3:uid="{E47417B8-D71F-473B-BA3D-D04486DD5E3D}" name="Assy-Lvl" dataDxfId="31">
      <calculatedColumnFormula>MATCH("x",A3:E3,0)</calculatedColumnFormula>
    </tableColumn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0052E9-38D8-49FA-B100-38223FC3F402}" name="Table1" displayName="Table1" ref="A173:P216" totalsRowShown="0" headerRowDxfId="30">
  <autoFilter ref="A173:P216" xr:uid="{7B0052E9-38D8-49FA-B100-38223FC3F4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FACC893E-FB35-4363-9A5C-5FDA43F1E8F8}" name="1" dataDxfId="29"/>
    <tableColumn id="2" xr3:uid="{7B4D2693-9F88-4D6C-A6AF-FE4D2C7110C2}" name="2" dataDxfId="28"/>
    <tableColumn id="3" xr3:uid="{A7298808-1C1F-4E98-8043-230B521D0226}" name="3" dataDxfId="27"/>
    <tableColumn id="4" xr3:uid="{90727F9B-A31D-4EC2-A22B-4391661D7457}" name="4" dataDxfId="26"/>
    <tableColumn id="5" xr3:uid="{2D76AAF8-F0FA-4ECE-8CD9-D2130236D01E}" name="5" dataDxfId="25"/>
    <tableColumn id="6" xr3:uid="{695A55CB-7796-431A-9EA4-C5A1DA7C82A0}" name="Part Number" dataDxfId="24"/>
    <tableColumn id="7" xr3:uid="{2ABA5ABA-227B-49DC-8C88-DD72BDB90A89}" name="Descriptive Name">
      <calculatedColumnFormula>_xlfn.XLOOKUP(Table1[[#This Row],[Part Number]], Catalogue_Components[Part Number], Catalogue_Components[Descriptive Name], "Component not found!")</calculatedColumnFormula>
    </tableColumn>
    <tableColumn id="8" xr3:uid="{D112D828-8A4C-4E6C-A821-7DBFF9FA6797}" name="Manufacturer">
      <calculatedColumnFormula>_xlfn.XLOOKUP(Table1[[#This Row],[Part Number]], Catalogue_Components[Part Number], Catalogue_Components[Manufacturer], "-")</calculatedColumnFormula>
    </tableColumn>
    <tableColumn id="9" xr3:uid="{33838CA9-B0C5-467A-8C53-8C703659EC81}" name="Part"/>
    <tableColumn id="10" xr3:uid="{D7E99AC8-A9B5-4DDF-A20D-0547A352FCEF}" name="Total" dataDxfId="23">
      <calculatedColumnFormula>Table1[[#This Row],[Part]]</calculatedColumnFormula>
    </tableColumn>
    <tableColumn id="11" xr3:uid="{337AA820-5860-41BC-AD51-2A9DDA5FF04B}" name="Part [CHF]" dataDxfId="22" dataCellStyle="Currency">
      <calculatedColumnFormula>_xlfn.XLOOKUP(Table1[[#This Row],[Part Number]], Catalogue_Components[Part Number], Catalogue_Components[Price Per Unit], "")</calculatedColumnFormula>
    </tableColumn>
    <tableColumn id="12" xr3:uid="{C4B96608-BDFF-4AB7-BC78-A54694412A02}" name="Part [hh:mm]" dataDxfId="21">
      <calculatedColumnFormula>_xlfn.XLOOKUP(Table1[[#This Row],[Part Number]], Catalogue_Components[Part Number], Catalogue_Components[Print Time], "")</calculatedColumnFormula>
    </tableColumn>
    <tableColumn id="13" xr3:uid="{FBF09ECC-22F5-4019-BF19-F1628D01725B}" name="Comment"/>
    <tableColumn id="14" xr3:uid="{CD77B481-48E1-4035-8945-50D14EB6CCF5}" name="Total [CHF]  "/>
    <tableColumn id="15" xr3:uid="{F0E3413B-FBA0-4A2E-A5B5-779D3BC532BF}" name="Total[hh:mm] "/>
    <tableColumn id="16" xr3:uid="{C3500FF5-AB3F-4BF8-B373-2A5A1CEA5453}" name="Assy-Lvl">
      <calculatedColumnFormula>MATCH("x",A174:E174,0)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4085147-5ED0-40BF-A9B3-2210E472AF27}" name="Catalogue_Components" displayName="Catalogue_Components" ref="C1:J183" totalsRowShown="0">
  <autoFilter ref="C1:J183" xr:uid="{54085147-5ED0-40BF-A9B3-2210E472AF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C2:J53">
    <sortCondition ref="C3:C53"/>
  </sortState>
  <tableColumns count="8">
    <tableColumn id="1" xr3:uid="{C0BC7B2B-0171-403D-BB4B-5F37EB239D07}" name="Part Number" dataDxfId="20"/>
    <tableColumn id="2" xr3:uid="{BE7C0F22-3202-4BBE-B0C8-49F3724FE66D}" name="Descriptive Name"/>
    <tableColumn id="3" xr3:uid="{DBBC1DB2-73E8-4AE5-AD2B-5BA02D3BA532}" name="Manufacturer"/>
    <tableColumn id="4" xr3:uid="{1369BDC3-EF0C-4B8F-9541-45A1F202AC8A}" name="Price Per Unit" dataCellStyle="Currency"/>
    <tableColumn id="8" xr3:uid="{15D5C268-6F4C-4017-BF63-7D1DE753AF50}" name="Print Time" dataDxfId="19" dataCellStyle="Currency"/>
    <tableColumn id="5" xr3:uid="{855483D1-298F-4956-BA23-66BE9638DE0F}" name="Length (Alu Profiles)" dataDxfId="18"/>
    <tableColumn id="6" xr3:uid="{5AD47A45-70BE-41C1-ADBD-7F697B0225BE}" name="Amount (CAD)" dataDxfId="17"/>
    <tableColumn id="7" xr3:uid="{8622E46D-E42F-4C6D-9070-3F5D975786CA}" name="Amount (BoM)" dataDxfId="16">
      <calculatedColumnFormula>"item Frame lower width (L = "&amp;Catalogue_Components[[#This Row],[Length (Alu Profiles)]]&amp;" mm)"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747A-F080-48B9-8069-04A1C959C1E0}">
  <dimension ref="A1:V216"/>
  <sheetViews>
    <sheetView tabSelected="1" topLeftCell="A177" workbookViewId="0">
      <selection activeCell="U196" sqref="U196"/>
    </sheetView>
  </sheetViews>
  <sheetFormatPr defaultRowHeight="15" outlineLevelRow="1" x14ac:dyDescent="0.25"/>
  <cols>
    <col min="1" max="5" width="2.85546875" style="15" customWidth="1"/>
    <col min="6" max="6" width="21.42578125" bestFit="1" customWidth="1"/>
    <col min="7" max="7" width="40.5703125" bestFit="1" customWidth="1"/>
    <col min="8" max="8" width="16.7109375" bestFit="1" customWidth="1"/>
    <col min="9" max="9" width="4.5703125" bestFit="1" customWidth="1"/>
    <col min="10" max="10" width="5.42578125" bestFit="1" customWidth="1"/>
    <col min="11" max="11" width="10.42578125" bestFit="1" customWidth="1"/>
    <col min="12" max="12" width="12.7109375" bestFit="1" customWidth="1"/>
    <col min="13" max="13" width="39" customWidth="1"/>
    <col min="14" max="14" width="12.42578125" bestFit="1" customWidth="1"/>
    <col min="15" max="15" width="13.7109375" bestFit="1" customWidth="1"/>
    <col min="16" max="16" width="1.5703125" customWidth="1"/>
    <col min="17" max="40" width="9.140625" customWidth="1"/>
  </cols>
  <sheetData>
    <row r="1" spans="1:22" x14ac:dyDescent="0.25">
      <c r="A1" s="25" t="s">
        <v>286</v>
      </c>
      <c r="B1" s="25"/>
      <c r="C1" s="25"/>
      <c r="D1" s="25"/>
      <c r="E1" s="25"/>
      <c r="F1" s="17"/>
      <c r="G1" s="17"/>
      <c r="H1" s="17"/>
      <c r="I1" s="25" t="s">
        <v>41</v>
      </c>
      <c r="J1" s="25"/>
      <c r="K1" s="25" t="s">
        <v>333</v>
      </c>
      <c r="L1" s="25"/>
      <c r="M1" s="17"/>
      <c r="N1" s="25" t="s">
        <v>285</v>
      </c>
      <c r="O1" s="25"/>
      <c r="P1" s="17" t="s">
        <v>337</v>
      </c>
    </row>
    <row r="2" spans="1:22" x14ac:dyDescent="0.25">
      <c r="A2" s="15" t="s">
        <v>290</v>
      </c>
      <c r="B2" s="15" t="s">
        <v>291</v>
      </c>
      <c r="C2" s="15" t="s">
        <v>292</v>
      </c>
      <c r="D2" s="15" t="s">
        <v>293</v>
      </c>
      <c r="E2" s="15" t="s">
        <v>301</v>
      </c>
      <c r="F2" s="15" t="s">
        <v>0</v>
      </c>
      <c r="G2" s="15" t="s">
        <v>1</v>
      </c>
      <c r="H2" s="15" t="s">
        <v>2</v>
      </c>
      <c r="I2" s="15" t="s">
        <v>328</v>
      </c>
      <c r="J2" s="15" t="s">
        <v>261</v>
      </c>
      <c r="K2" s="15" t="s">
        <v>329</v>
      </c>
      <c r="L2" s="15" t="s">
        <v>334</v>
      </c>
      <c r="M2" s="15" t="s">
        <v>330</v>
      </c>
      <c r="N2" s="15" t="s">
        <v>335</v>
      </c>
      <c r="O2" s="15" t="s">
        <v>336</v>
      </c>
      <c r="P2" s="15" t="s">
        <v>338</v>
      </c>
    </row>
    <row r="3" spans="1:22" x14ac:dyDescent="0.25">
      <c r="A3" s="15" t="s">
        <v>289</v>
      </c>
      <c r="F3" s="2" t="s">
        <v>287</v>
      </c>
      <c r="G3" t="str">
        <f>_xlfn.XLOOKUP(Indented_BoM[[#This Row],[Part Number]], Catalogue_Components[Part Number], Catalogue_Components[Descriptive Name], "Component not found!")</f>
        <v>Test Section Assembly</v>
      </c>
      <c r="H3" t="s">
        <v>288</v>
      </c>
      <c r="I3" s="16">
        <v>1</v>
      </c>
      <c r="J3" s="16">
        <v>1</v>
      </c>
      <c r="K3" s="21">
        <f>_xlfn.XLOOKUP(Indented_BoM[[#This Row],[Part Number]], Catalogue_Components[Part Number], Catalogue_Components[Price Per Unit], "")</f>
        <v>0</v>
      </c>
      <c r="L3" s="20">
        <f>_xlfn.XLOOKUP(Indented_BoM[[#This Row],[Part Number]], Catalogue_Components[Part Number], Catalogue_Components[Print Time], "")</f>
        <v>0</v>
      </c>
      <c r="M3" s="11"/>
      <c r="N3" s="22">
        <f>Indented_BoM[[#This Row],[Part '[CHF']]]*Indented_BoM[[#This Row],[Total]]+SUMIF(P4:P49,Indented_BoM[[#This Row],[Assy-Lvl]]+1,N4:N49)</f>
        <v>192.23812000000004</v>
      </c>
      <c r="O3" s="20">
        <f>Indented_BoM[[#This Row],[Part '[hh:mm']]]*Indented_BoM[[#This Row],[Total]]+SUMIF(P4:P49,Indented_BoM[[#This Row],[Assy-Lvl]]+1,O4:O49)</f>
        <v>1.6104166666666666</v>
      </c>
      <c r="P3">
        <f t="shared" ref="P3:P34" si="0">MATCH("x",A3:E3,0)</f>
        <v>1</v>
      </c>
    </row>
    <row r="4" spans="1:22" outlineLevel="1" x14ac:dyDescent="0.25">
      <c r="B4" s="15" t="s">
        <v>289</v>
      </c>
      <c r="F4" s="2" t="s">
        <v>209</v>
      </c>
      <c r="G4" t="str">
        <f>_xlfn.XLOOKUP(Indented_BoM[[#This Row],[Part Number]], Catalogue_Components[Part Number], Catalogue_Components[Descriptive Name], "Component not found!")</f>
        <v>Nozzle Wall Front</v>
      </c>
      <c r="H4" t="str">
        <f>_xlfn.XLOOKUP(Indented_BoM[[#This Row],[Part Number]], Catalogue_Components[Part Number], Catalogue_Components[Manufacturer], "-")</f>
        <v>Custom</v>
      </c>
      <c r="I4" s="16">
        <v>1</v>
      </c>
      <c r="J4" s="16">
        <f>Indented_BoM[[#This Row],[Part]]*$I$3</f>
        <v>1</v>
      </c>
      <c r="K4" s="21">
        <f>_xlfn.XLOOKUP(Indented_BoM[[#This Row],[Part Number]], Catalogue_Components[Part Number], Catalogue_Components[Price Per Unit], "")</f>
        <v>0</v>
      </c>
      <c r="L4" s="20">
        <f>_xlfn.XLOOKUP(Indented_BoM[[#This Row],[Part Number]], Catalogue_Components[Part Number], Catalogue_Components[Print Time], "")</f>
        <v>0</v>
      </c>
      <c r="M4" s="14"/>
      <c r="N4" s="22">
        <f>Indented_BoM[[#This Row],[Part '[CHF']]]*Indented_BoM[[#This Row],[Total]]</f>
        <v>0</v>
      </c>
      <c r="O4" s="20">
        <f>Indented_BoM[[#This Row],[Total]]*Indented_BoM[[#This Row],[Part '[hh:mm']]]</f>
        <v>0</v>
      </c>
      <c r="P4">
        <f t="shared" si="0"/>
        <v>2</v>
      </c>
    </row>
    <row r="5" spans="1:22" outlineLevel="1" x14ac:dyDescent="0.25">
      <c r="B5" s="15" t="s">
        <v>289</v>
      </c>
      <c r="F5" s="2" t="s">
        <v>210</v>
      </c>
      <c r="G5" t="str">
        <f>_xlfn.XLOOKUP(Indented_BoM[[#This Row],[Part Number]], Catalogue_Components[Part Number], Catalogue_Components[Descriptive Name], "Component not found!")</f>
        <v>Nozzle Wall Rear</v>
      </c>
      <c r="H5" t="str">
        <f>_xlfn.XLOOKUP(Indented_BoM[[#This Row],[Part Number]], Catalogue_Components[Part Number], Catalogue_Components[Manufacturer], "-")</f>
        <v>Custom</v>
      </c>
      <c r="I5" s="16">
        <v>1</v>
      </c>
      <c r="J5" s="16">
        <f>Indented_BoM[[#This Row],[Part]]*$I$3</f>
        <v>1</v>
      </c>
      <c r="K5" s="21">
        <f>_xlfn.XLOOKUP(Indented_BoM[[#This Row],[Part Number]], Catalogue_Components[Part Number], Catalogue_Components[Price Per Unit], "")</f>
        <v>0</v>
      </c>
      <c r="L5" s="20">
        <f>_xlfn.XLOOKUP(Indented_BoM[[#This Row],[Part Number]], Catalogue_Components[Part Number], Catalogue_Components[Print Time], "")</f>
        <v>0</v>
      </c>
      <c r="M5" s="14"/>
      <c r="N5" s="22">
        <f>Indented_BoM[[#This Row],[Part '[CHF']]]*Indented_BoM[[#This Row],[Total]]</f>
        <v>0</v>
      </c>
      <c r="O5" s="20">
        <f>Indented_BoM[[#This Row],[Total]]*Indented_BoM[[#This Row],[Part '[hh:mm']]]</f>
        <v>0</v>
      </c>
      <c r="P5">
        <f t="shared" si="0"/>
        <v>2</v>
      </c>
    </row>
    <row r="6" spans="1:22" outlineLevel="1" x14ac:dyDescent="0.25">
      <c r="B6" s="15" t="s">
        <v>289</v>
      </c>
      <c r="F6" s="2" t="s">
        <v>211</v>
      </c>
      <c r="G6" t="str">
        <f>_xlfn.XLOOKUP(Indented_BoM[[#This Row],[Part Number]], Catalogue_Components[Part Number], Catalogue_Components[Descriptive Name], "Component not found!")</f>
        <v>Nozzle Floor</v>
      </c>
      <c r="H6" t="str">
        <f>_xlfn.XLOOKUP(Indented_BoM[[#This Row],[Part Number]], Catalogue_Components[Part Number], Catalogue_Components[Manufacturer], "-")</f>
        <v>Custom</v>
      </c>
      <c r="I6" s="16">
        <v>1</v>
      </c>
      <c r="J6" s="16">
        <f>Indented_BoM[[#This Row],[Part]]*$I$3</f>
        <v>1</v>
      </c>
      <c r="K6" s="21">
        <f>_xlfn.XLOOKUP(Indented_BoM[[#This Row],[Part Number]], Catalogue_Components[Part Number], Catalogue_Components[Price Per Unit], "")</f>
        <v>0</v>
      </c>
      <c r="L6" s="20">
        <f>_xlfn.XLOOKUP(Indented_BoM[[#This Row],[Part Number]], Catalogue_Components[Part Number], Catalogue_Components[Print Time], "")</f>
        <v>0</v>
      </c>
      <c r="M6" s="14"/>
      <c r="N6" s="22">
        <f>Indented_BoM[[#This Row],[Part '[CHF']]]*Indented_BoM[[#This Row],[Total]]</f>
        <v>0</v>
      </c>
      <c r="O6" s="20">
        <f>Indented_BoM[[#This Row],[Total]]*Indented_BoM[[#This Row],[Part '[hh:mm']]]</f>
        <v>0</v>
      </c>
      <c r="P6">
        <f t="shared" si="0"/>
        <v>2</v>
      </c>
    </row>
    <row r="7" spans="1:22" outlineLevel="1" x14ac:dyDescent="0.25">
      <c r="B7" s="15" t="s">
        <v>289</v>
      </c>
      <c r="F7" s="2" t="s">
        <v>212</v>
      </c>
      <c r="G7" t="str">
        <f>_xlfn.XLOOKUP(Indented_BoM[[#This Row],[Part Number]], Catalogue_Components[Part Number], Catalogue_Components[Descriptive Name], "Component not found!")</f>
        <v>Diffuser Wall Front</v>
      </c>
      <c r="H7" t="str">
        <f>_xlfn.XLOOKUP(Indented_BoM[[#This Row],[Part Number]], Catalogue_Components[Part Number], Catalogue_Components[Manufacturer], "-")</f>
        <v>Custom</v>
      </c>
      <c r="I7" s="16">
        <v>1</v>
      </c>
      <c r="J7" s="16">
        <f>Indented_BoM[[#This Row],[Part]]*$I$3</f>
        <v>1</v>
      </c>
      <c r="K7" s="21">
        <f>_xlfn.XLOOKUP(Indented_BoM[[#This Row],[Part Number]], Catalogue_Components[Part Number], Catalogue_Components[Price Per Unit], "")</f>
        <v>0</v>
      </c>
      <c r="L7" s="20">
        <f>_xlfn.XLOOKUP(Indented_BoM[[#This Row],[Part Number]], Catalogue_Components[Part Number], Catalogue_Components[Print Time], "")</f>
        <v>5.486111111111111E-2</v>
      </c>
      <c r="M7" s="14"/>
      <c r="N7" s="22">
        <f>Indented_BoM[[#This Row],[Part '[CHF']]]*Indented_BoM[[#This Row],[Total]]+SUM(N8)</f>
        <v>0.48</v>
      </c>
      <c r="O7" s="20">
        <f>Indented_BoM[[#This Row],[Total]]*Indented_BoM[[#This Row],[Part '[hh:mm']]]+SUM(O8)</f>
        <v>5.486111111111111E-2</v>
      </c>
      <c r="P7">
        <f t="shared" si="0"/>
        <v>2</v>
      </c>
    </row>
    <row r="8" spans="1:22" outlineLevel="1" x14ac:dyDescent="0.25">
      <c r="C8" s="15" t="s">
        <v>289</v>
      </c>
      <c r="F8" s="2" t="s">
        <v>26</v>
      </c>
      <c r="G8" t="str">
        <f>_xlfn.XLOOKUP(Indented_BoM[[#This Row],[Part Number]], Catalogue_Components[Part Number], Catalogue_Components[Descriptive Name], "Component not found!")</f>
        <v>M3 Threaded Insert</v>
      </c>
      <c r="H8" t="str">
        <f>_xlfn.XLOOKUP(Indented_BoM[[#This Row],[Part Number]], Catalogue_Components[Part Number], Catalogue_Components[Manufacturer], "-")</f>
        <v>Bossard</v>
      </c>
      <c r="I8" s="16">
        <v>2</v>
      </c>
      <c r="J8" s="16">
        <f>Indented_BoM[[#This Row],[Part]]*$J$7</f>
        <v>2</v>
      </c>
      <c r="K8" s="21">
        <f>_xlfn.XLOOKUP(Indented_BoM[[#This Row],[Part Number]], Catalogue_Components[Part Number], Catalogue_Components[Price Per Unit], "")</f>
        <v>0.24</v>
      </c>
      <c r="L8" s="20">
        <f>_xlfn.XLOOKUP(Indented_BoM[[#This Row],[Part Number]], Catalogue_Components[Part Number], Catalogue_Components[Print Time], "")</f>
        <v>0</v>
      </c>
      <c r="M8" s="14"/>
      <c r="N8" s="22">
        <f>Indented_BoM[[#This Row],[Part '[CHF']]]*Indented_BoM[[#This Row],[Total]]</f>
        <v>0.48</v>
      </c>
      <c r="O8" s="20">
        <f>Indented_BoM[[#This Row],[Total]]*Indented_BoM[[#This Row],[Part '[hh:mm']]]</f>
        <v>0</v>
      </c>
      <c r="P8">
        <f t="shared" si="0"/>
        <v>3</v>
      </c>
    </row>
    <row r="9" spans="1:22" outlineLevel="1" x14ac:dyDescent="0.25">
      <c r="B9" s="15" t="s">
        <v>289</v>
      </c>
      <c r="F9" s="2" t="s">
        <v>213</v>
      </c>
      <c r="G9" t="str">
        <f>_xlfn.XLOOKUP(Indented_BoM[[#This Row],[Part Number]], Catalogue_Components[Part Number], Catalogue_Components[Descriptive Name], "Component not found!")</f>
        <v>Diffuser Wall Rear</v>
      </c>
      <c r="H9" t="str">
        <f>_xlfn.XLOOKUP(Indented_BoM[[#This Row],[Part Number]], Catalogue_Components[Part Number], Catalogue_Components[Manufacturer], "-")</f>
        <v>Custom</v>
      </c>
      <c r="I9" s="16">
        <v>1</v>
      </c>
      <c r="J9" s="16">
        <f>Indented_BoM[[#This Row],[Part]]*$I$3</f>
        <v>1</v>
      </c>
      <c r="K9" s="21">
        <f>_xlfn.XLOOKUP(Indented_BoM[[#This Row],[Part Number]], Catalogue_Components[Part Number], Catalogue_Components[Price Per Unit], "")</f>
        <v>0</v>
      </c>
      <c r="L9" s="20">
        <f>_xlfn.XLOOKUP(Indented_BoM[[#This Row],[Part Number]], Catalogue_Components[Part Number], Catalogue_Components[Print Time], "")</f>
        <v>5.486111111111111E-2</v>
      </c>
      <c r="M9" s="14"/>
      <c r="N9" s="22">
        <f>Indented_BoM[[#This Row],[Part '[CHF']]]*Indented_BoM[[#This Row],[Total]]+SUM(N10)</f>
        <v>0.48</v>
      </c>
      <c r="O9" s="20">
        <f>Indented_BoM[[#This Row],[Total]]*Indented_BoM[[#This Row],[Part '[hh:mm']]]+SUM(O10)</f>
        <v>5.486111111111111E-2</v>
      </c>
      <c r="P9">
        <f t="shared" si="0"/>
        <v>2</v>
      </c>
      <c r="V9" s="18"/>
    </row>
    <row r="10" spans="1:22" outlineLevel="1" x14ac:dyDescent="0.25">
      <c r="C10" s="15" t="s">
        <v>289</v>
      </c>
      <c r="F10" s="2" t="s">
        <v>26</v>
      </c>
      <c r="G10" t="str">
        <f>_xlfn.XLOOKUP(Indented_BoM[[#This Row],[Part Number]], Catalogue_Components[Part Number], Catalogue_Components[Descriptive Name], "Component not found!")</f>
        <v>M3 Threaded Insert</v>
      </c>
      <c r="H10" t="str">
        <f>_xlfn.XLOOKUP(Indented_BoM[[#This Row],[Part Number]], Catalogue_Components[Part Number], Catalogue_Components[Manufacturer], "-")</f>
        <v>Bossard</v>
      </c>
      <c r="I10" s="16">
        <v>2</v>
      </c>
      <c r="J10" s="16">
        <f>Indented_BoM[[#This Row],[Part]]*$J$9</f>
        <v>2</v>
      </c>
      <c r="K10" s="21">
        <f>_xlfn.XLOOKUP(Indented_BoM[[#This Row],[Part Number]], Catalogue_Components[Part Number], Catalogue_Components[Price Per Unit], "")</f>
        <v>0.24</v>
      </c>
      <c r="L10" s="20">
        <f>_xlfn.XLOOKUP(Indented_BoM[[#This Row],[Part Number]], Catalogue_Components[Part Number], Catalogue_Components[Print Time], "")</f>
        <v>0</v>
      </c>
      <c r="M10" s="14"/>
      <c r="N10" s="22">
        <f>Indented_BoM[[#This Row],[Part '[CHF']]]*Indented_BoM[[#This Row],[Total]]</f>
        <v>0.48</v>
      </c>
      <c r="O10" s="20">
        <f>Indented_BoM[[#This Row],[Total]]*Indented_BoM[[#This Row],[Part '[hh:mm']]]</f>
        <v>0</v>
      </c>
      <c r="P10">
        <f t="shared" si="0"/>
        <v>3</v>
      </c>
    </row>
    <row r="11" spans="1:22" outlineLevel="1" x14ac:dyDescent="0.25">
      <c r="B11" s="15" t="s">
        <v>289</v>
      </c>
      <c r="F11" s="2" t="s">
        <v>295</v>
      </c>
      <c r="G11" t="str">
        <f>_xlfn.XLOOKUP(Indented_BoM[[#This Row],[Part Number]], Catalogue_Components[Part Number], Catalogue_Components[Descriptive Name], "Component not found!")</f>
        <v>Test Section Support Structure</v>
      </c>
      <c r="H11" t="str">
        <f>_xlfn.XLOOKUP(Indented_BoM[[#This Row],[Part Number]], Catalogue_Components[Part Number], Catalogue_Components[Manufacturer], "-")</f>
        <v>Custom</v>
      </c>
      <c r="I11" s="16">
        <v>1</v>
      </c>
      <c r="J11" s="16">
        <f>Indented_BoM[[#This Row],[Part]]*$I$3</f>
        <v>1</v>
      </c>
      <c r="K11" s="21">
        <f>_xlfn.XLOOKUP(Indented_BoM[[#This Row],[Part Number]], Catalogue_Components[Part Number], Catalogue_Components[Price Per Unit], "")</f>
        <v>0</v>
      </c>
      <c r="L11" s="20">
        <f>_xlfn.XLOOKUP(Indented_BoM[[#This Row],[Part Number]], Catalogue_Components[Part Number], Catalogue_Components[Print Time], "")</f>
        <v>0</v>
      </c>
      <c r="M11" s="14"/>
      <c r="N11" s="22">
        <f>Indented_BoM[[#This Row],[Part '[CHF']]]*Indented_BoM[[#This Row],[Total]]+SUMIF(P12:P34,Indented_BoM[[#This Row],[Assy-Lvl]]+1,N12:N34)</f>
        <v>172.92712</v>
      </c>
      <c r="O11" s="20">
        <f>Indented_BoM[[#This Row],[Part '[hh:mm']]]*Indented_BoM[[#This Row],[Total]]+SUMIF(P12:P34,Indented_BoM[[#This Row],[Assy-Lvl]]+1,O12:O34)</f>
        <v>0.54097222222222219</v>
      </c>
      <c r="P11">
        <f t="shared" si="0"/>
        <v>2</v>
      </c>
    </row>
    <row r="12" spans="1:22" outlineLevel="1" x14ac:dyDescent="0.25">
      <c r="C12" s="15" t="s">
        <v>289</v>
      </c>
      <c r="F12" s="2" t="s">
        <v>8</v>
      </c>
      <c r="G12" t="str">
        <f>_xlfn.XLOOKUP(Indented_BoM[[#This Row],[Part Number]], Catalogue_Components[Part Number], Catalogue_Components[Descriptive Name], "Component not found!")</f>
        <v>Cap Profil 5</v>
      </c>
      <c r="H12" t="str">
        <f>_xlfn.XLOOKUP(Indented_BoM[[#This Row],[Part Number]], Catalogue_Components[Part Number], Catalogue_Components[Manufacturer], "-")</f>
        <v>item</v>
      </c>
      <c r="I12" s="16">
        <v>4</v>
      </c>
      <c r="J12" s="16">
        <f>Indented_BoM[[#This Row],[Part]]*$J$11</f>
        <v>4</v>
      </c>
      <c r="K12" s="21">
        <f>_xlfn.XLOOKUP(Indented_BoM[[#This Row],[Part Number]], Catalogue_Components[Part Number], Catalogue_Components[Price Per Unit], "")</f>
        <v>0.71</v>
      </c>
      <c r="L12" s="20">
        <f>_xlfn.XLOOKUP(Indented_BoM[[#This Row],[Part Number]], Catalogue_Components[Part Number], Catalogue_Components[Print Time], "")</f>
        <v>0</v>
      </c>
      <c r="M12" s="14"/>
      <c r="N12" s="22">
        <f>Indented_BoM[[#This Row],[Part '[CHF']]]*Indented_BoM[[#This Row],[Total]]</f>
        <v>2.84</v>
      </c>
      <c r="O12" s="20">
        <f>Indented_BoM[[#This Row],[Total]]*Indented_BoM[[#This Row],[Part '[hh:mm']]]</f>
        <v>0</v>
      </c>
      <c r="P12">
        <f t="shared" si="0"/>
        <v>3</v>
      </c>
    </row>
    <row r="13" spans="1:22" outlineLevel="1" x14ac:dyDescent="0.25">
      <c r="C13" s="15" t="s">
        <v>289</v>
      </c>
      <c r="F13" s="2" t="s">
        <v>79</v>
      </c>
      <c r="G13" t="str">
        <f>_xlfn.XLOOKUP(Indented_BoM[[#This Row],[Part Number]], Catalogue_Components[Part Number], Catalogue_Components[Descriptive Name], "Component not found!")</f>
        <v>item Frame TS Width (L = 240 mm)</v>
      </c>
      <c r="H13" t="str">
        <f>_xlfn.XLOOKUP(Indented_BoM[[#This Row],[Part Number]], Catalogue_Components[Part Number], Catalogue_Components[Manufacturer], "-")</f>
        <v>item</v>
      </c>
      <c r="I13" s="16">
        <v>2</v>
      </c>
      <c r="J13" s="16">
        <f>Indented_BoM[[#This Row],[Part]]*$J$11</f>
        <v>2</v>
      </c>
      <c r="K13" s="21">
        <f>_xlfn.XLOOKUP(Indented_BoM[[#This Row],[Part Number]], Catalogue_Components[Part Number], Catalogue_Components[Price Per Unit], "")</f>
        <v>7.9887999999999995</v>
      </c>
      <c r="L13" s="20">
        <f>_xlfn.XLOOKUP(Indented_BoM[[#This Row],[Part Number]], Catalogue_Components[Part Number], Catalogue_Components[Print Time], "")</f>
        <v>0</v>
      </c>
      <c r="M13" s="14"/>
      <c r="N13" s="22">
        <f>Indented_BoM[[#This Row],[Part '[CHF']]]*Indented_BoM[[#This Row],[Total]]</f>
        <v>15.977599999999999</v>
      </c>
      <c r="O13" s="20">
        <f>Indented_BoM[[#This Row],[Total]]*Indented_BoM[[#This Row],[Part '[hh:mm']]]</f>
        <v>0</v>
      </c>
      <c r="P13">
        <f t="shared" si="0"/>
        <v>3</v>
      </c>
    </row>
    <row r="14" spans="1:22" outlineLevel="1" x14ac:dyDescent="0.25">
      <c r="C14" s="15" t="s">
        <v>289</v>
      </c>
      <c r="F14" s="2" t="s">
        <v>77</v>
      </c>
      <c r="G14" t="str">
        <f>_xlfn.XLOOKUP(Indented_BoM[[#This Row],[Part Number]], Catalogue_Components[Part Number], Catalogue_Components[Descriptive Name], "Component not found!")</f>
        <v>item Frame TS Column (L = 141.5 mm)</v>
      </c>
      <c r="H14" t="str">
        <f>_xlfn.XLOOKUP(Indented_BoM[[#This Row],[Part Number]], Catalogue_Components[Part Number], Catalogue_Components[Manufacturer], "-")</f>
        <v>item</v>
      </c>
      <c r="I14" s="16">
        <v>4</v>
      </c>
      <c r="J14" s="16">
        <f>Indented_BoM[[#This Row],[Part]]*$J$11</f>
        <v>4</v>
      </c>
      <c r="K14" s="21">
        <f>_xlfn.XLOOKUP(Indented_BoM[[#This Row],[Part Number]], Catalogue_Components[Part Number], Catalogue_Components[Price Per Unit], "")</f>
        <v>6.5979799999999997</v>
      </c>
      <c r="L14" s="20">
        <f>_xlfn.XLOOKUP(Indented_BoM[[#This Row],[Part Number]], Catalogue_Components[Part Number], Catalogue_Components[Print Time], "")</f>
        <v>0</v>
      </c>
      <c r="M14" s="14"/>
      <c r="N14" s="22">
        <f>Indented_BoM[[#This Row],[Part '[CHF']]]*Indented_BoM[[#This Row],[Total]]</f>
        <v>26.391919999999999</v>
      </c>
      <c r="O14" s="20">
        <f>Indented_BoM[[#This Row],[Total]]*Indented_BoM[[#This Row],[Part '[hh:mm']]]</f>
        <v>0</v>
      </c>
      <c r="P14">
        <f t="shared" si="0"/>
        <v>3</v>
      </c>
    </row>
    <row r="15" spans="1:22" outlineLevel="1" x14ac:dyDescent="0.25">
      <c r="C15" s="15" t="s">
        <v>289</v>
      </c>
      <c r="F15" s="2" t="s">
        <v>78</v>
      </c>
      <c r="G15" t="str">
        <f>_xlfn.XLOOKUP(Indented_BoM[[#This Row],[Part Number]], Catalogue_Components[Part Number], Catalogue_Components[Descriptive Name], "Component not found!")</f>
        <v>item Frame TS Length (L = 490 mm)</v>
      </c>
      <c r="H15" t="str">
        <f>_xlfn.XLOOKUP(Indented_BoM[[#This Row],[Part Number]], Catalogue_Components[Part Number], Catalogue_Components[Manufacturer], "-")</f>
        <v>item</v>
      </c>
      <c r="I15" s="16">
        <v>2</v>
      </c>
      <c r="J15" s="16">
        <f>Indented_BoM[[#This Row],[Part]]*$J$11</f>
        <v>2</v>
      </c>
      <c r="K15" s="21">
        <f>_xlfn.XLOOKUP(Indented_BoM[[#This Row],[Part Number]], Catalogue_Components[Part Number], Catalogue_Components[Price Per Unit], "")</f>
        <v>11.518799999999999</v>
      </c>
      <c r="L15" s="20">
        <f>_xlfn.XLOOKUP(Indented_BoM[[#This Row],[Part Number]], Catalogue_Components[Part Number], Catalogue_Components[Print Time], "")</f>
        <v>0</v>
      </c>
      <c r="M15" s="14"/>
      <c r="N15" s="22">
        <f>Indented_BoM[[#This Row],[Part '[CHF']]]*Indented_BoM[[#This Row],[Total]]</f>
        <v>23.037599999999998</v>
      </c>
      <c r="O15" s="20">
        <f>Indented_BoM[[#This Row],[Total]]*Indented_BoM[[#This Row],[Part '[hh:mm']]]</f>
        <v>0</v>
      </c>
      <c r="P15">
        <f t="shared" si="0"/>
        <v>3</v>
      </c>
    </row>
    <row r="16" spans="1:22" outlineLevel="1" x14ac:dyDescent="0.25">
      <c r="C16" s="15" t="s">
        <v>289</v>
      </c>
      <c r="F16" s="2" t="s">
        <v>201</v>
      </c>
      <c r="G16" t="str">
        <f>_xlfn.XLOOKUP(Indented_BoM[[#This Row],[Part Number]], Catalogue_Components[Part Number], Catalogue_Components[Descriptive Name], "Component not found!")</f>
        <v>TS Holder Front</v>
      </c>
      <c r="H16" t="str">
        <f>_xlfn.XLOOKUP(Indented_BoM[[#This Row],[Part Number]], Catalogue_Components[Part Number], Catalogue_Components[Manufacturer], "-")</f>
        <v>Custom</v>
      </c>
      <c r="I16" s="16">
        <v>1</v>
      </c>
      <c r="J16" s="16">
        <f>Indented_BoM[[#This Row],[Part]]*$J$11</f>
        <v>1</v>
      </c>
      <c r="K16" s="21">
        <f>_xlfn.XLOOKUP(Indented_BoM[[#This Row],[Part Number]], Catalogue_Components[Part Number], Catalogue_Components[Price Per Unit], "")</f>
        <v>0</v>
      </c>
      <c r="L16" s="20">
        <f>_xlfn.XLOOKUP(Indented_BoM[[#This Row],[Part Number]], Catalogue_Components[Part Number], Catalogue_Components[Print Time], "")</f>
        <v>4.791666666666667E-2</v>
      </c>
      <c r="M16" s="14"/>
      <c r="N16" s="22">
        <f>Indented_BoM[[#This Row],[Part '[CHF']]]*Indented_BoM[[#This Row],[Total]]+SUM(N17)</f>
        <v>0.96</v>
      </c>
      <c r="O16" s="20">
        <f>Indented_BoM[[#This Row],[Total]]*Indented_BoM[[#This Row],[Part '[hh:mm']]]+SUM(O17)</f>
        <v>4.791666666666667E-2</v>
      </c>
      <c r="P16">
        <f t="shared" si="0"/>
        <v>3</v>
      </c>
    </row>
    <row r="17" spans="3:16" outlineLevel="1" x14ac:dyDescent="0.25">
      <c r="D17" s="15" t="s">
        <v>289</v>
      </c>
      <c r="F17" s="2" t="s">
        <v>26</v>
      </c>
      <c r="G17" t="str">
        <f>_xlfn.XLOOKUP(Indented_BoM[[#This Row],[Part Number]], Catalogue_Components[Part Number], Catalogue_Components[Descriptive Name], "Component not found!")</f>
        <v>M3 Threaded Insert</v>
      </c>
      <c r="H17" t="str">
        <f>_xlfn.XLOOKUP(Indented_BoM[[#This Row],[Part Number]], Catalogue_Components[Part Number], Catalogue_Components[Manufacturer], "-")</f>
        <v>Bossard</v>
      </c>
      <c r="I17" s="16">
        <v>4</v>
      </c>
      <c r="J17" s="16">
        <f>Indented_BoM[[#This Row],[Part]]*$J$16</f>
        <v>4</v>
      </c>
      <c r="K17" s="21">
        <f>_xlfn.XLOOKUP(Indented_BoM[[#This Row],[Part Number]], Catalogue_Components[Part Number], Catalogue_Components[Price Per Unit], "")</f>
        <v>0.24</v>
      </c>
      <c r="L17" s="20">
        <f>_xlfn.XLOOKUP(Indented_BoM[[#This Row],[Part Number]], Catalogue_Components[Part Number], Catalogue_Components[Print Time], "")</f>
        <v>0</v>
      </c>
      <c r="M17" s="14"/>
      <c r="N17" s="22">
        <f>Indented_BoM[[#This Row],[Part '[CHF']]]*Indented_BoM[[#This Row],[Total]]</f>
        <v>0.96</v>
      </c>
      <c r="O17" s="20">
        <f>Indented_BoM[[#This Row],[Total]]*Indented_BoM[[#This Row],[Part '[hh:mm']]]</f>
        <v>0</v>
      </c>
      <c r="P17">
        <f t="shared" si="0"/>
        <v>4</v>
      </c>
    </row>
    <row r="18" spans="3:16" outlineLevel="1" x14ac:dyDescent="0.25">
      <c r="C18" s="15" t="s">
        <v>289</v>
      </c>
      <c r="F18" s="2" t="s">
        <v>200</v>
      </c>
      <c r="G18" t="str">
        <f>_xlfn.XLOOKUP(Indented_BoM[[#This Row],[Part Number]], Catalogue_Components[Part Number], Catalogue_Components[Descriptive Name], "Component not found!")</f>
        <v>Plexiglass Floor back</v>
      </c>
      <c r="H18" t="str">
        <f>_xlfn.XLOOKUP(Indented_BoM[[#This Row],[Part Number]], Catalogue_Components[Part Number], Catalogue_Components[Manufacturer], "-")</f>
        <v>Custom</v>
      </c>
      <c r="I18" s="16">
        <v>1</v>
      </c>
      <c r="J18" s="16">
        <f>Indented_BoM[[#This Row],[Part]]*$J$11</f>
        <v>1</v>
      </c>
      <c r="K18" s="21">
        <f>_xlfn.XLOOKUP(Indented_BoM[[#This Row],[Part Number]], Catalogue_Components[Part Number], Catalogue_Components[Price Per Unit], "")</f>
        <v>0</v>
      </c>
      <c r="L18" s="20">
        <f>_xlfn.XLOOKUP(Indented_BoM[[#This Row],[Part Number]], Catalogue_Components[Part Number], Catalogue_Components[Print Time], "")</f>
        <v>0</v>
      </c>
      <c r="M18" s="14"/>
      <c r="N18" s="22">
        <f>Indented_BoM[[#This Row],[Part '[CHF']]]*Indented_BoM[[#This Row],[Total]]</f>
        <v>0</v>
      </c>
      <c r="O18" s="20">
        <f>Indented_BoM[[#This Row],[Total]]*Indented_BoM[[#This Row],[Part '[hh:mm']]]</f>
        <v>0</v>
      </c>
      <c r="P18">
        <f t="shared" si="0"/>
        <v>3</v>
      </c>
    </row>
    <row r="19" spans="3:16" outlineLevel="1" x14ac:dyDescent="0.25">
      <c r="C19" s="15" t="s">
        <v>289</v>
      </c>
      <c r="F19" s="2" t="s">
        <v>199</v>
      </c>
      <c r="G19" t="str">
        <f>_xlfn.XLOOKUP(Indented_BoM[[#This Row],[Part Number]], Catalogue_Components[Part Number], Catalogue_Components[Descriptive Name], "Component not found!")</f>
        <v>Plexiglass Floor front</v>
      </c>
      <c r="H19" t="str">
        <f>_xlfn.XLOOKUP(Indented_BoM[[#This Row],[Part Number]], Catalogue_Components[Part Number], Catalogue_Components[Manufacturer], "-")</f>
        <v>Custom</v>
      </c>
      <c r="I19" s="16">
        <v>1</v>
      </c>
      <c r="J19" s="16">
        <f>Indented_BoM[[#This Row],[Part]]*$J$11</f>
        <v>1</v>
      </c>
      <c r="K19" s="21">
        <f>_xlfn.XLOOKUP(Indented_BoM[[#This Row],[Part Number]], Catalogue_Components[Part Number], Catalogue_Components[Price Per Unit], "")</f>
        <v>0</v>
      </c>
      <c r="L19" s="20">
        <f>_xlfn.XLOOKUP(Indented_BoM[[#This Row],[Part Number]], Catalogue_Components[Part Number], Catalogue_Components[Print Time], "")</f>
        <v>0</v>
      </c>
      <c r="M19" s="14"/>
      <c r="N19" s="22">
        <f>Indented_BoM[[#This Row],[Part '[CHF']]]*Indented_BoM[[#This Row],[Total]]</f>
        <v>0</v>
      </c>
      <c r="O19" s="20">
        <f>Indented_BoM[[#This Row],[Total]]*Indented_BoM[[#This Row],[Part '[hh:mm']]]</f>
        <v>0</v>
      </c>
      <c r="P19">
        <f t="shared" si="0"/>
        <v>3</v>
      </c>
    </row>
    <row r="20" spans="3:16" outlineLevel="1" x14ac:dyDescent="0.25">
      <c r="C20" s="15" t="s">
        <v>289</v>
      </c>
      <c r="F20" s="2" t="s">
        <v>203</v>
      </c>
      <c r="G20" t="str">
        <f>_xlfn.XLOOKUP(Indented_BoM[[#This Row],[Part Number]], Catalogue_Components[Part Number], Catalogue_Components[Descriptive Name], "Component not found!")</f>
        <v>Diffuser Floor Rear</v>
      </c>
      <c r="H20" t="str">
        <f>_xlfn.XLOOKUP(Indented_BoM[[#This Row],[Part Number]], Catalogue_Components[Part Number], Catalogue_Components[Manufacturer], "-")</f>
        <v>Custom</v>
      </c>
      <c r="I20" s="16">
        <v>1</v>
      </c>
      <c r="J20" s="16">
        <f>Indented_BoM[[#This Row],[Part]]*$J$11</f>
        <v>1</v>
      </c>
      <c r="K20" s="21">
        <f>_xlfn.XLOOKUP(Indented_BoM[[#This Row],[Part Number]], Catalogue_Components[Part Number], Catalogue_Components[Price Per Unit], "")</f>
        <v>0</v>
      </c>
      <c r="L20" s="20">
        <f>_xlfn.XLOOKUP(Indented_BoM[[#This Row],[Part Number]], Catalogue_Components[Part Number], Catalogue_Components[Print Time], "")</f>
        <v>5.7638888888888892E-2</v>
      </c>
      <c r="M20" s="14"/>
      <c r="N20" s="22">
        <f>Indented_BoM[[#This Row],[Part '[CHF']]]*Indented_BoM[[#This Row],[Total]]+SUM(N21)</f>
        <v>0.48</v>
      </c>
      <c r="O20" s="20">
        <f>Indented_BoM[[#This Row],[Total]]*Indented_BoM[[#This Row],[Part '[hh:mm']]]+SUM(O21)</f>
        <v>5.7638888888888892E-2</v>
      </c>
      <c r="P20">
        <f t="shared" si="0"/>
        <v>3</v>
      </c>
    </row>
    <row r="21" spans="3:16" outlineLevel="1" x14ac:dyDescent="0.25">
      <c r="D21" s="15" t="s">
        <v>289</v>
      </c>
      <c r="F21" s="2" t="s">
        <v>26</v>
      </c>
      <c r="G21" t="str">
        <f>_xlfn.XLOOKUP(Indented_BoM[[#This Row],[Part Number]], Catalogue_Components[Part Number], Catalogue_Components[Descriptive Name], "Component not found!")</f>
        <v>M3 Threaded Insert</v>
      </c>
      <c r="H21" t="str">
        <f>_xlfn.XLOOKUP(Indented_BoM[[#This Row],[Part Number]], Catalogue_Components[Part Number], Catalogue_Components[Manufacturer], "-")</f>
        <v>Bossard</v>
      </c>
      <c r="I21" s="16">
        <v>2</v>
      </c>
      <c r="J21" s="16">
        <f>Indented_BoM[[#This Row],[Part]]*$J$20</f>
        <v>2</v>
      </c>
      <c r="K21" s="21">
        <f>_xlfn.XLOOKUP(Indented_BoM[[#This Row],[Part Number]], Catalogue_Components[Part Number], Catalogue_Components[Price Per Unit], "")</f>
        <v>0.24</v>
      </c>
      <c r="L21" s="20">
        <f>_xlfn.XLOOKUP(Indented_BoM[[#This Row],[Part Number]], Catalogue_Components[Part Number], Catalogue_Components[Print Time], "")</f>
        <v>0</v>
      </c>
      <c r="M21" s="14"/>
      <c r="N21" s="22">
        <f>Indented_BoM[[#This Row],[Part '[CHF']]]*Indented_BoM[[#This Row],[Total]]</f>
        <v>0.48</v>
      </c>
      <c r="O21" s="20">
        <f>Indented_BoM[[#This Row],[Total]]*Indented_BoM[[#This Row],[Part '[hh:mm']]]</f>
        <v>0</v>
      </c>
      <c r="P21">
        <f t="shared" si="0"/>
        <v>4</v>
      </c>
    </row>
    <row r="22" spans="3:16" outlineLevel="1" x14ac:dyDescent="0.25">
      <c r="C22" s="15" t="s">
        <v>289</v>
      </c>
      <c r="F22" s="2" t="s">
        <v>202</v>
      </c>
      <c r="G22" t="str">
        <f>_xlfn.XLOOKUP(Indented_BoM[[#This Row],[Part Number]], Catalogue_Components[Part Number], Catalogue_Components[Descriptive Name], "Component not found!")</f>
        <v>Diffuser Floor Front</v>
      </c>
      <c r="H22" t="str">
        <f>_xlfn.XLOOKUP(Indented_BoM[[#This Row],[Part Number]], Catalogue_Components[Part Number], Catalogue_Components[Manufacturer], "-")</f>
        <v>Custom</v>
      </c>
      <c r="I22" s="16">
        <v>1</v>
      </c>
      <c r="J22" s="16">
        <f>Indented_BoM[[#This Row],[Part]]*$J$11</f>
        <v>1</v>
      </c>
      <c r="K22" s="21">
        <f>_xlfn.XLOOKUP(Indented_BoM[[#This Row],[Part Number]], Catalogue_Components[Part Number], Catalogue_Components[Price Per Unit], "")</f>
        <v>0</v>
      </c>
      <c r="L22" s="20">
        <f>_xlfn.XLOOKUP(Indented_BoM[[#This Row],[Part Number]], Catalogue_Components[Part Number], Catalogue_Components[Print Time], "")</f>
        <v>5.7638888888888892E-2</v>
      </c>
      <c r="M22" s="14"/>
      <c r="N22" s="22">
        <f>Indented_BoM[[#This Row],[Part '[CHF']]]*Indented_BoM[[#This Row],[Total]]+SUM(N23)</f>
        <v>0.48</v>
      </c>
      <c r="O22" s="20">
        <f>Indented_BoM[[#This Row],[Total]]*Indented_BoM[[#This Row],[Part '[hh:mm']]]+SUM(O23)</f>
        <v>5.7638888888888892E-2</v>
      </c>
      <c r="P22">
        <f t="shared" si="0"/>
        <v>3</v>
      </c>
    </row>
    <row r="23" spans="3:16" outlineLevel="1" x14ac:dyDescent="0.25">
      <c r="D23" s="15" t="s">
        <v>289</v>
      </c>
      <c r="F23" s="2" t="s">
        <v>26</v>
      </c>
      <c r="G23" t="str">
        <f>_xlfn.XLOOKUP(Indented_BoM[[#This Row],[Part Number]], Catalogue_Components[Part Number], Catalogue_Components[Descriptive Name], "Component not found!")</f>
        <v>M3 Threaded Insert</v>
      </c>
      <c r="H23" t="str">
        <f>_xlfn.XLOOKUP(Indented_BoM[[#This Row],[Part Number]], Catalogue_Components[Part Number], Catalogue_Components[Manufacturer], "-")</f>
        <v>Bossard</v>
      </c>
      <c r="I23" s="16">
        <v>2</v>
      </c>
      <c r="J23" s="16">
        <f>Indented_BoM[[#This Row],[Part]]*$J$22</f>
        <v>2</v>
      </c>
      <c r="K23" s="21">
        <f>_xlfn.XLOOKUP(Indented_BoM[[#This Row],[Part Number]], Catalogue_Components[Part Number], Catalogue_Components[Price Per Unit], "")</f>
        <v>0.24</v>
      </c>
      <c r="L23" s="20">
        <f>_xlfn.XLOOKUP(Indented_BoM[[#This Row],[Part Number]], Catalogue_Components[Part Number], Catalogue_Components[Print Time], "")</f>
        <v>0</v>
      </c>
      <c r="M23" s="14"/>
      <c r="N23" s="22">
        <f>Indented_BoM[[#This Row],[Part '[CHF']]]*Indented_BoM[[#This Row],[Total]]</f>
        <v>0.48</v>
      </c>
      <c r="O23" s="20">
        <f>Indented_BoM[[#This Row],[Total]]*Indented_BoM[[#This Row],[Part '[hh:mm']]]</f>
        <v>0</v>
      </c>
      <c r="P23">
        <f t="shared" si="0"/>
        <v>4</v>
      </c>
    </row>
    <row r="24" spans="3:16" outlineLevel="1" x14ac:dyDescent="0.25">
      <c r="C24" s="15" t="s">
        <v>289</v>
      </c>
      <c r="F24" s="2" t="s">
        <v>196</v>
      </c>
      <c r="G24" t="str">
        <f>_xlfn.XLOOKUP(Indented_BoM[[#This Row],[Part Number]], Catalogue_Components[Part Number], Catalogue_Components[Descriptive Name], "Component not found!")</f>
        <v>CornerClip Male</v>
      </c>
      <c r="H24" t="str">
        <f>_xlfn.XLOOKUP(Indented_BoM[[#This Row],[Part Number]], Catalogue_Components[Part Number], Catalogue_Components[Manufacturer], "-")</f>
        <v>Custom</v>
      </c>
      <c r="I24" s="16">
        <v>8</v>
      </c>
      <c r="J24" s="16">
        <f>Indented_BoM[[#This Row],[Part]]*J11</f>
        <v>8</v>
      </c>
      <c r="K24" s="21">
        <f>_xlfn.XLOOKUP(Indented_BoM[[#This Row],[Part Number]], Catalogue_Components[Part Number], Catalogue_Components[Price Per Unit], "")</f>
        <v>0</v>
      </c>
      <c r="L24" s="20">
        <f>_xlfn.XLOOKUP(Indented_BoM[[#This Row],[Part Number]], Catalogue_Components[Part Number], Catalogue_Components[Print Time], "")</f>
        <v>1.8749999999999999E-2</v>
      </c>
      <c r="M24" s="14"/>
      <c r="N24" s="22">
        <f>Indented_BoM[[#This Row],[Part '[CHF']]]*Indented_BoM[[#This Row],[Total]]+SUM(N25:N26)</f>
        <v>23.488000000000003</v>
      </c>
      <c r="O24" s="20">
        <f>Indented_BoM[[#This Row],[Total]]*Indented_BoM[[#This Row],[Part '[hh:mm']]]+SUM(O25:O26)</f>
        <v>0.15</v>
      </c>
      <c r="P24">
        <f t="shared" si="0"/>
        <v>3</v>
      </c>
    </row>
    <row r="25" spans="3:16" outlineLevel="1" x14ac:dyDescent="0.25">
      <c r="D25" s="15" t="s">
        <v>289</v>
      </c>
      <c r="F25" s="2" t="s">
        <v>30</v>
      </c>
      <c r="G25" t="str">
        <f>_xlfn.XLOOKUP(Indented_BoM[[#This Row],[Part Number]], Catalogue_Components[Part Number], Catalogue_Components[Descriptive Name], "Component not found!")</f>
        <v>T-slotNnut M5 Profil 5</v>
      </c>
      <c r="H25" t="str">
        <f>_xlfn.XLOOKUP(Indented_BoM[[#This Row],[Part Number]], Catalogue_Components[Part Number], Catalogue_Components[Manufacturer], "-")</f>
        <v>item</v>
      </c>
      <c r="I25" s="16">
        <v>1</v>
      </c>
      <c r="J25" s="16">
        <f>Indented_BoM[[#This Row],[Part]]*$J$24</f>
        <v>8</v>
      </c>
      <c r="K25" s="21">
        <f>_xlfn.XLOOKUP(Indented_BoM[[#This Row],[Part Number]], Catalogue_Components[Part Number], Catalogue_Components[Price Per Unit], "")</f>
        <v>2.7</v>
      </c>
      <c r="L25" s="20">
        <f>_xlfn.XLOOKUP(Indented_BoM[[#This Row],[Part Number]], Catalogue_Components[Part Number], Catalogue_Components[Print Time], "")</f>
        <v>0</v>
      </c>
      <c r="M25" s="14"/>
      <c r="N25" s="22">
        <f>Indented_BoM[[#This Row],[Part '[CHF']]]*Indented_BoM[[#This Row],[Total]]</f>
        <v>21.6</v>
      </c>
      <c r="O25" s="20">
        <f>Indented_BoM[[#This Row],[Total]]*Indented_BoM[[#This Row],[Part '[hh:mm']]]</f>
        <v>0</v>
      </c>
      <c r="P25">
        <f t="shared" si="0"/>
        <v>4</v>
      </c>
    </row>
    <row r="26" spans="3:16" outlineLevel="1" x14ac:dyDescent="0.25">
      <c r="D26" s="15" t="s">
        <v>289</v>
      </c>
      <c r="F26" s="2" t="s">
        <v>20</v>
      </c>
      <c r="G26" t="str">
        <f>_xlfn.XLOOKUP(Indented_BoM[[#This Row],[Part Number]], Catalogue_Components[Part Number], Catalogue_Components[Descriptive Name], "Component not found!")</f>
        <v>M5x8 Screw Hex Countersunk</v>
      </c>
      <c r="H26" t="str">
        <f>_xlfn.XLOOKUP(Indented_BoM[[#This Row],[Part Number]], Catalogue_Components[Part Number], Catalogue_Components[Manufacturer], "-")</f>
        <v>Bossard</v>
      </c>
      <c r="I26" s="16">
        <v>1</v>
      </c>
      <c r="J26" s="16">
        <f>Indented_BoM[[#This Row],[Part]]*$J$24</f>
        <v>8</v>
      </c>
      <c r="K26" s="21">
        <f>_xlfn.XLOOKUP(Indented_BoM[[#This Row],[Part Number]], Catalogue_Components[Part Number], Catalogue_Components[Price Per Unit], "")</f>
        <v>0.23600000000000002</v>
      </c>
      <c r="L26" s="20">
        <f>_xlfn.XLOOKUP(Indented_BoM[[#This Row],[Part Number]], Catalogue_Components[Part Number], Catalogue_Components[Print Time], "")</f>
        <v>0</v>
      </c>
      <c r="M26" s="14"/>
      <c r="N26" s="22">
        <f>Indented_BoM[[#This Row],[Part '[CHF']]]*Indented_BoM[[#This Row],[Total]]</f>
        <v>1.8880000000000001</v>
      </c>
      <c r="O26" s="20">
        <f>Indented_BoM[[#This Row],[Total]]*Indented_BoM[[#This Row],[Part '[hh:mm']]]</f>
        <v>0</v>
      </c>
      <c r="P26">
        <f t="shared" si="0"/>
        <v>4</v>
      </c>
    </row>
    <row r="27" spans="3:16" outlineLevel="1" x14ac:dyDescent="0.25">
      <c r="C27" s="15" t="s">
        <v>289</v>
      </c>
      <c r="F27" s="2" t="s">
        <v>195</v>
      </c>
      <c r="G27" t="str">
        <f>_xlfn.XLOOKUP(Indented_BoM[[#This Row],[Part Number]], Catalogue_Components[Part Number], Catalogue_Components[Descriptive Name], "Component not found!")</f>
        <v>CornerClip Female</v>
      </c>
      <c r="H27" t="str">
        <f>_xlfn.XLOOKUP(Indented_BoM[[#This Row],[Part Number]], Catalogue_Components[Part Number], Catalogue_Components[Manufacturer], "-")</f>
        <v>Custom</v>
      </c>
      <c r="I27" s="16">
        <v>8</v>
      </c>
      <c r="J27" s="16">
        <f>Indented_BoM[[#This Row],[Part]]*$J$11</f>
        <v>8</v>
      </c>
      <c r="K27" s="21">
        <f>_xlfn.XLOOKUP(Indented_BoM[[#This Row],[Part Number]], Catalogue_Components[Part Number], Catalogue_Components[Price Per Unit], "")</f>
        <v>0</v>
      </c>
      <c r="L27" s="20">
        <f>_xlfn.XLOOKUP(Indented_BoM[[#This Row],[Part Number]], Catalogue_Components[Part Number], Catalogue_Components[Print Time], "")</f>
        <v>1.5972222222222221E-2</v>
      </c>
      <c r="M27" s="14"/>
      <c r="N27" s="22">
        <f>Indented_BoM[[#This Row],[Part '[CHF']]]*Indented_BoM[[#This Row],[Total]]+SUM(N28:N29)</f>
        <v>23.488000000000003</v>
      </c>
      <c r="O27" s="20">
        <f>Indented_BoM[[#This Row],[Total]]*Indented_BoM[[#This Row],[Part '[hh:mm']]]+SUM(O28:O29)</f>
        <v>0.12777777777777777</v>
      </c>
      <c r="P27">
        <f t="shared" si="0"/>
        <v>3</v>
      </c>
    </row>
    <row r="28" spans="3:16" outlineLevel="1" x14ac:dyDescent="0.25">
      <c r="D28" s="15" t="s">
        <v>289</v>
      </c>
      <c r="F28" s="2" t="s">
        <v>30</v>
      </c>
      <c r="G28" t="str">
        <f>_xlfn.XLOOKUP(Indented_BoM[[#This Row],[Part Number]], Catalogue_Components[Part Number], Catalogue_Components[Descriptive Name], "Component not found!")</f>
        <v>T-slotNnut M5 Profil 5</v>
      </c>
      <c r="H28" t="str">
        <f>_xlfn.XLOOKUP(Indented_BoM[[#This Row],[Part Number]], Catalogue_Components[Part Number], Catalogue_Components[Manufacturer], "-")</f>
        <v>item</v>
      </c>
      <c r="I28" s="16">
        <v>1</v>
      </c>
      <c r="J28" s="16">
        <f>Indented_BoM[[#This Row],[Part]]*$J$27</f>
        <v>8</v>
      </c>
      <c r="K28" s="21">
        <f>_xlfn.XLOOKUP(Indented_BoM[[#This Row],[Part Number]], Catalogue_Components[Part Number], Catalogue_Components[Price Per Unit], "")</f>
        <v>2.7</v>
      </c>
      <c r="L28" s="20">
        <f>_xlfn.XLOOKUP(Indented_BoM[[#This Row],[Part Number]], Catalogue_Components[Part Number], Catalogue_Components[Print Time], "")</f>
        <v>0</v>
      </c>
      <c r="M28" s="14"/>
      <c r="N28" s="22">
        <f>Indented_BoM[[#This Row],[Part '[CHF']]]*Indented_BoM[[#This Row],[Total]]</f>
        <v>21.6</v>
      </c>
      <c r="O28" s="20">
        <f>Indented_BoM[[#This Row],[Total]]*Indented_BoM[[#This Row],[Part '[hh:mm']]]</f>
        <v>0</v>
      </c>
      <c r="P28">
        <f t="shared" si="0"/>
        <v>4</v>
      </c>
    </row>
    <row r="29" spans="3:16" outlineLevel="1" x14ac:dyDescent="0.25">
      <c r="D29" s="15" t="s">
        <v>289</v>
      </c>
      <c r="F29" s="2" t="s">
        <v>20</v>
      </c>
      <c r="G29" t="str">
        <f>_xlfn.XLOOKUP(Indented_BoM[[#This Row],[Part Number]], Catalogue_Components[Part Number], Catalogue_Components[Descriptive Name], "Component not found!")</f>
        <v>M5x8 Screw Hex Countersunk</v>
      </c>
      <c r="H29" t="str">
        <f>_xlfn.XLOOKUP(Indented_BoM[[#This Row],[Part Number]], Catalogue_Components[Part Number], Catalogue_Components[Manufacturer], "-")</f>
        <v>Bossard</v>
      </c>
      <c r="I29" s="16">
        <v>1</v>
      </c>
      <c r="J29" s="16">
        <f>Indented_BoM[[#This Row],[Part]]*$J$27</f>
        <v>8</v>
      </c>
      <c r="K29" s="21">
        <f>_xlfn.XLOOKUP(Indented_BoM[[#This Row],[Part Number]], Catalogue_Components[Part Number], Catalogue_Components[Price Per Unit], "")</f>
        <v>0.23600000000000002</v>
      </c>
      <c r="L29" s="20">
        <f>_xlfn.XLOOKUP(Indented_BoM[[#This Row],[Part Number]], Catalogue_Components[Part Number], Catalogue_Components[Print Time], "")</f>
        <v>0</v>
      </c>
      <c r="M29" s="14"/>
      <c r="N29" s="22">
        <f>Indented_BoM[[#This Row],[Part '[CHF']]]*Indented_BoM[[#This Row],[Total]]</f>
        <v>1.8880000000000001</v>
      </c>
      <c r="O29" s="20">
        <f>Indented_BoM[[#This Row],[Total]]*Indented_BoM[[#This Row],[Part '[hh:mm']]]</f>
        <v>0</v>
      </c>
      <c r="P29">
        <f t="shared" si="0"/>
        <v>4</v>
      </c>
    </row>
    <row r="30" spans="3:16" outlineLevel="1" x14ac:dyDescent="0.25">
      <c r="C30" s="15" t="s">
        <v>289</v>
      </c>
      <c r="F30" s="2" t="s">
        <v>198</v>
      </c>
      <c r="G30" t="str">
        <f>_xlfn.XLOOKUP(Indented_BoM[[#This Row],[Part Number]], Catalogue_Components[Part Number], Catalogue_Components[Descriptive Name], "Component not found!")</f>
        <v>item ColumnClip</v>
      </c>
      <c r="H30" t="str">
        <f>_xlfn.XLOOKUP(Indented_BoM[[#This Row],[Part Number]], Catalogue_Components[Part Number], Catalogue_Components[Manufacturer], "-")</f>
        <v>Custom</v>
      </c>
      <c r="I30" s="16">
        <v>4</v>
      </c>
      <c r="J30" s="16">
        <f>Indented_BoM[[#This Row],[Part]]*$J$11</f>
        <v>4</v>
      </c>
      <c r="K30" s="21">
        <f>_xlfn.XLOOKUP(Indented_BoM[[#This Row],[Part Number]], Catalogue_Components[Part Number], Catalogue_Components[Price Per Unit], "")</f>
        <v>0</v>
      </c>
      <c r="L30" s="20">
        <f>_xlfn.XLOOKUP(Indented_BoM[[#This Row],[Part Number]], Catalogue_Components[Part Number], Catalogue_Components[Print Time], "")</f>
        <v>2.5000000000000001E-2</v>
      </c>
      <c r="M30" s="14"/>
      <c r="N30" s="22">
        <f>Indented_BoM[[#This Row],[Part '[CHF']]]*Indented_BoM[[#This Row],[Total]]+SUM(N31:N32)</f>
        <v>11.744000000000002</v>
      </c>
      <c r="O30" s="20">
        <f>Indented_BoM[[#This Row],[Total]]*Indented_BoM[[#This Row],[Part '[hh:mm']]]+SUM(O31:O32)</f>
        <v>0.1</v>
      </c>
      <c r="P30">
        <f t="shared" si="0"/>
        <v>3</v>
      </c>
    </row>
    <row r="31" spans="3:16" outlineLevel="1" x14ac:dyDescent="0.25">
      <c r="D31" s="15" t="s">
        <v>289</v>
      </c>
      <c r="F31" s="2" t="s">
        <v>30</v>
      </c>
      <c r="G31" t="str">
        <f>_xlfn.XLOOKUP(Indented_BoM[[#This Row],[Part Number]], Catalogue_Components[Part Number], Catalogue_Components[Descriptive Name], "Component not found!")</f>
        <v>T-slotNnut M5 Profil 5</v>
      </c>
      <c r="H31" t="str">
        <f>_xlfn.XLOOKUP(Indented_BoM[[#This Row],[Part Number]], Catalogue_Components[Part Number], Catalogue_Components[Manufacturer], "-")</f>
        <v>item</v>
      </c>
      <c r="I31" s="16">
        <v>1</v>
      </c>
      <c r="J31" s="16">
        <f>Indented_BoM[[#This Row],[Part]]*$J$30</f>
        <v>4</v>
      </c>
      <c r="K31" s="21">
        <f>_xlfn.XLOOKUP(Indented_BoM[[#This Row],[Part Number]], Catalogue_Components[Part Number], Catalogue_Components[Price Per Unit], "")</f>
        <v>2.7</v>
      </c>
      <c r="L31" s="20">
        <f>_xlfn.XLOOKUP(Indented_BoM[[#This Row],[Part Number]], Catalogue_Components[Part Number], Catalogue_Components[Print Time], "")</f>
        <v>0</v>
      </c>
      <c r="M31" s="14"/>
      <c r="N31" s="22">
        <f>Indented_BoM[[#This Row],[Part '[CHF']]]*Indented_BoM[[#This Row],[Total]]</f>
        <v>10.8</v>
      </c>
      <c r="O31" s="20">
        <f>Indented_BoM[[#This Row],[Total]]*Indented_BoM[[#This Row],[Part '[hh:mm']]]</f>
        <v>0</v>
      </c>
      <c r="P31">
        <f t="shared" si="0"/>
        <v>4</v>
      </c>
    </row>
    <row r="32" spans="3:16" outlineLevel="1" x14ac:dyDescent="0.25">
      <c r="D32" s="15" t="s">
        <v>289</v>
      </c>
      <c r="F32" s="2" t="s">
        <v>20</v>
      </c>
      <c r="G32" t="str">
        <f>_xlfn.XLOOKUP(Indented_BoM[[#This Row],[Part Number]], Catalogue_Components[Part Number], Catalogue_Components[Descriptive Name], "Component not found!")</f>
        <v>M5x8 Screw Hex Countersunk</v>
      </c>
      <c r="H32" t="str">
        <f>_xlfn.XLOOKUP(Indented_BoM[[#This Row],[Part Number]], Catalogue_Components[Part Number], Catalogue_Components[Manufacturer], "-")</f>
        <v>Bossard</v>
      </c>
      <c r="I32" s="16">
        <v>1</v>
      </c>
      <c r="J32" s="16">
        <f>Indented_BoM[[#This Row],[Part]]*$J$30</f>
        <v>4</v>
      </c>
      <c r="K32" s="21">
        <f>_xlfn.XLOOKUP(Indented_BoM[[#This Row],[Part Number]], Catalogue_Components[Part Number], Catalogue_Components[Price Per Unit], "")</f>
        <v>0.23600000000000002</v>
      </c>
      <c r="L32" s="20">
        <f>_xlfn.XLOOKUP(Indented_BoM[[#This Row],[Part Number]], Catalogue_Components[Part Number], Catalogue_Components[Print Time], "")</f>
        <v>0</v>
      </c>
      <c r="M32" s="14"/>
      <c r="N32" s="22">
        <f>Indented_BoM[[#This Row],[Part '[CHF']]]*Indented_BoM[[#This Row],[Total]]</f>
        <v>0.94400000000000006</v>
      </c>
      <c r="O32" s="20">
        <f>Indented_BoM[[#This Row],[Total]]*Indented_BoM[[#This Row],[Part '[hh:mm']]]</f>
        <v>0</v>
      </c>
      <c r="P32">
        <f t="shared" si="0"/>
        <v>4</v>
      </c>
    </row>
    <row r="33" spans="2:16" outlineLevel="1" x14ac:dyDescent="0.25">
      <c r="C33" s="15" t="s">
        <v>289</v>
      </c>
      <c r="F33" s="2" t="s">
        <v>30</v>
      </c>
      <c r="G33" t="str">
        <f>_xlfn.XLOOKUP(Indented_BoM[[#This Row],[Part Number]], Catalogue_Components[Part Number], Catalogue_Components[Descriptive Name], "Component not found!")</f>
        <v>T-slotNnut M5 Profil 5</v>
      </c>
      <c r="H33" t="str">
        <f>_xlfn.XLOOKUP(Indented_BoM[[#This Row],[Part Number]], Catalogue_Components[Part Number], Catalogue_Components[Manufacturer], "-")</f>
        <v>item</v>
      </c>
      <c r="I33" s="16">
        <v>15</v>
      </c>
      <c r="J33" s="16">
        <f>Indented_BoM[[#This Row],[Part]]*$J$11</f>
        <v>15</v>
      </c>
      <c r="K33" s="21">
        <f>_xlfn.XLOOKUP(Indented_BoM[[#This Row],[Part Number]], Catalogue_Components[Part Number], Catalogue_Components[Price Per Unit], "")</f>
        <v>2.7</v>
      </c>
      <c r="L33" s="20">
        <f>_xlfn.XLOOKUP(Indented_BoM[[#This Row],[Part Number]], Catalogue_Components[Part Number], Catalogue_Components[Print Time], "")</f>
        <v>0</v>
      </c>
      <c r="M33" s="14"/>
      <c r="N33" s="22">
        <f>Indented_BoM[[#This Row],[Part '[CHF']]]*Indented_BoM[[#This Row],[Total]]</f>
        <v>40.5</v>
      </c>
      <c r="O33" s="20">
        <f>Indented_BoM[[#This Row],[Total]]*Indented_BoM[[#This Row],[Part '[hh:mm']]]</f>
        <v>0</v>
      </c>
      <c r="P33">
        <f t="shared" si="0"/>
        <v>3</v>
      </c>
    </row>
    <row r="34" spans="2:16" outlineLevel="1" x14ac:dyDescent="0.25">
      <c r="C34" s="15" t="s">
        <v>289</v>
      </c>
      <c r="F34" s="2" t="s">
        <v>20</v>
      </c>
      <c r="G34" t="str">
        <f>_xlfn.XLOOKUP(Indented_BoM[[#This Row],[Part Number]], Catalogue_Components[Part Number], Catalogue_Components[Descriptive Name], "Component not found!")</f>
        <v>M5x8 Screw Hex Countersunk</v>
      </c>
      <c r="H34" t="str">
        <f>_xlfn.XLOOKUP(Indented_BoM[[#This Row],[Part Number]], Catalogue_Components[Part Number], Catalogue_Components[Manufacturer], "-")</f>
        <v>Bossard</v>
      </c>
      <c r="I34" s="16">
        <v>15</v>
      </c>
      <c r="J34" s="16">
        <f>Indented_BoM[[#This Row],[Part]]*$J$11</f>
        <v>15</v>
      </c>
      <c r="K34" s="21">
        <f>_xlfn.XLOOKUP(Indented_BoM[[#This Row],[Part Number]], Catalogue_Components[Part Number], Catalogue_Components[Price Per Unit], "")</f>
        <v>0.23600000000000002</v>
      </c>
      <c r="L34" s="20">
        <f>_xlfn.XLOOKUP(Indented_BoM[[#This Row],[Part Number]], Catalogue_Components[Part Number], Catalogue_Components[Print Time], "")</f>
        <v>0</v>
      </c>
      <c r="M34" s="14"/>
      <c r="N34" s="22">
        <f>Indented_BoM[[#This Row],[Part '[CHF']]]*Indented_BoM[[#This Row],[Total]]</f>
        <v>3.54</v>
      </c>
      <c r="O34" s="20">
        <f>Indented_BoM[[#This Row],[Total]]*Indented_BoM[[#This Row],[Part '[hh:mm']]]</f>
        <v>0</v>
      </c>
      <c r="P34">
        <f t="shared" si="0"/>
        <v>3</v>
      </c>
    </row>
    <row r="35" spans="2:16" outlineLevel="1" x14ac:dyDescent="0.25">
      <c r="B35" s="15" t="s">
        <v>289</v>
      </c>
      <c r="F35" s="2" t="s">
        <v>296</v>
      </c>
      <c r="G35" t="str">
        <f>_xlfn.XLOOKUP(Indented_BoM[[#This Row],[Part Number]], Catalogue_Components[Part Number], Catalogue_Components[Descriptive Name], "Component not found!")</f>
        <v>Honeycombs Assembly</v>
      </c>
      <c r="H35" t="str">
        <f>_xlfn.XLOOKUP(Indented_BoM[[#This Row],[Part Number]], Catalogue_Components[Part Number], Catalogue_Components[Manufacturer], "-")</f>
        <v>Custom</v>
      </c>
      <c r="I35" s="16">
        <v>1</v>
      </c>
      <c r="J35" s="16">
        <f>Indented_BoM[[#This Row],[Part]]</f>
        <v>1</v>
      </c>
      <c r="K35" s="21">
        <f>_xlfn.XLOOKUP(Indented_BoM[[#This Row],[Part Number]], Catalogue_Components[Part Number], Catalogue_Components[Price Per Unit], "")</f>
        <v>0</v>
      </c>
      <c r="L35" s="20">
        <f>_xlfn.XLOOKUP(Indented_BoM[[#This Row],[Part Number]], Catalogue_Components[Part Number], Catalogue_Components[Print Time], "")</f>
        <v>0</v>
      </c>
      <c r="M35" s="14"/>
      <c r="N35" s="22">
        <f>Indented_BoM[[#This Row],[Part '[CHF']]]*Indented_BoM[[#This Row],[Total]]+SUMIF(P36:P49,Indented_BoM[[#This Row],[Assy-Lvl]]+1,N36:N49)</f>
        <v>14.835000000000001</v>
      </c>
      <c r="O35" s="20">
        <f>Indented_BoM[[#This Row],[Part '[hh:mm']]]*Indented_BoM[[#This Row],[Total]]+SUMIF(P36:P49,Indented_BoM[[#This Row],[Assy-Lvl]]+1,O36:O49)</f>
        <v>0.95972222222222214</v>
      </c>
      <c r="P35">
        <f t="shared" ref="P35:P66" si="1">MATCH("x",A35:E35,0)</f>
        <v>2</v>
      </c>
    </row>
    <row r="36" spans="2:16" outlineLevel="1" x14ac:dyDescent="0.25">
      <c r="C36" s="15" t="s">
        <v>289</v>
      </c>
      <c r="F36" s="2" t="s">
        <v>63</v>
      </c>
      <c r="G36" t="str">
        <f>_xlfn.XLOOKUP(Indented_BoM[[#This Row],[Part Number]], Catalogue_Components[Part Number], Catalogue_Components[Descriptive Name], "Component not found!")</f>
        <v>Frame Inside Width (L = 275 mm)</v>
      </c>
      <c r="H36" t="str">
        <f>_xlfn.XLOOKUP(Indented_BoM[[#This Row],[Part Number]], Catalogue_Components[Part Number], Catalogue_Components[Manufacturer], "-")</f>
        <v>item</v>
      </c>
      <c r="I36" s="16">
        <v>1</v>
      </c>
      <c r="J36" s="16">
        <f>Indented_BoM[[#This Row],[Part]]</f>
        <v>1</v>
      </c>
      <c r="K36" s="21">
        <f>_xlfn.XLOOKUP(Indented_BoM[[#This Row],[Part Number]], Catalogue_Components[Part Number], Catalogue_Components[Price Per Unit], "")</f>
        <v>8.4830000000000005</v>
      </c>
      <c r="L36" s="20">
        <f>_xlfn.XLOOKUP(Indented_BoM[[#This Row],[Part Number]], Catalogue_Components[Part Number], Catalogue_Components[Print Time], "")</f>
        <v>0</v>
      </c>
      <c r="M36" s="14"/>
      <c r="N36" s="22">
        <f>Indented_BoM[[#This Row],[Part '[CHF']]]*Indented_BoM[[#This Row],[Total]]</f>
        <v>8.4830000000000005</v>
      </c>
      <c r="O36" s="20">
        <f>Indented_BoM[[#This Row],[Total]]*Indented_BoM[[#This Row],[Part '[hh:mm']]]</f>
        <v>0</v>
      </c>
      <c r="P36">
        <f t="shared" si="1"/>
        <v>3</v>
      </c>
    </row>
    <row r="37" spans="2:16" outlineLevel="1" x14ac:dyDescent="0.25">
      <c r="C37" s="15" t="s">
        <v>289</v>
      </c>
      <c r="F37" s="19" t="s">
        <v>208</v>
      </c>
      <c r="G37" t="str">
        <f>_xlfn.XLOOKUP(Indented_BoM[[#This Row],[Part Number]], Catalogue_Components[Part Number], Catalogue_Components[Descriptive Name], "Component not found!")</f>
        <v>Honeycomb</v>
      </c>
      <c r="H37" t="str">
        <f>_xlfn.XLOOKUP(Indented_BoM[[#This Row],[Part Number]], Catalogue_Components[Part Number], Catalogue_Components[Manufacturer], "-")</f>
        <v>Custom</v>
      </c>
      <c r="I37" s="16">
        <v>3</v>
      </c>
      <c r="J37" s="16">
        <f>Indented_BoM[[#This Row],[Part]]</f>
        <v>3</v>
      </c>
      <c r="K37" s="21">
        <f>_xlfn.XLOOKUP(Indented_BoM[[#This Row],[Part Number]], Catalogue_Components[Part Number], Catalogue_Components[Price Per Unit], "")</f>
        <v>0</v>
      </c>
      <c r="L37" s="20">
        <f>_xlfn.XLOOKUP(Indented_BoM[[#This Row],[Part Number]], Catalogue_Components[Part Number], Catalogue_Components[Print Time], "")</f>
        <v>0.3</v>
      </c>
      <c r="M37" s="14"/>
      <c r="N37" s="22">
        <f>Indented_BoM[[#This Row],[Total]]*Indented_BoM[[#This Row],[Part '[CHF']]]+SUM(N38)</f>
        <v>0.48</v>
      </c>
      <c r="O37" s="20">
        <f>Indented_BoM[[#This Row],[Total]]*Indented_BoM[[#This Row],[Part '[hh:mm']]]+SUM(O38)</f>
        <v>0.89999999999999991</v>
      </c>
      <c r="P37">
        <f t="shared" si="1"/>
        <v>3</v>
      </c>
    </row>
    <row r="38" spans="2:16" outlineLevel="1" x14ac:dyDescent="0.25">
      <c r="D38" s="15" t="s">
        <v>289</v>
      </c>
      <c r="F38" s="2" t="s">
        <v>26</v>
      </c>
      <c r="G38" t="str">
        <f>_xlfn.XLOOKUP(Indented_BoM[[#This Row],[Part Number]], Catalogue_Components[Part Number], Catalogue_Components[Descriptive Name], "Component not found!")</f>
        <v>M3 Threaded Insert</v>
      </c>
      <c r="H38" t="str">
        <f>_xlfn.XLOOKUP(Indented_BoM[[#This Row],[Part Number]], Catalogue_Components[Part Number], Catalogue_Components[Manufacturer], "-")</f>
        <v>Bossard</v>
      </c>
      <c r="I38" s="16">
        <v>2</v>
      </c>
      <c r="J38" s="16">
        <f>Indented_BoM[[#This Row],[Part]]</f>
        <v>2</v>
      </c>
      <c r="K38" s="21">
        <f>_xlfn.XLOOKUP(Indented_BoM[[#This Row],[Part Number]], Catalogue_Components[Part Number], Catalogue_Components[Price Per Unit], "")</f>
        <v>0.24</v>
      </c>
      <c r="L38" s="20">
        <f>_xlfn.XLOOKUP(Indented_BoM[[#This Row],[Part Number]], Catalogue_Components[Part Number], Catalogue_Components[Print Time], "")</f>
        <v>0</v>
      </c>
      <c r="M38" s="14"/>
      <c r="N38" s="22">
        <f>Indented_BoM[[#This Row],[Part '[CHF']]]*Indented_BoM[[#This Row],[Total]]</f>
        <v>0.48</v>
      </c>
      <c r="O38" s="20">
        <f>Indented_BoM[[#This Row],[Total]]*Indented_BoM[[#This Row],[Part '[hh:mm']]]</f>
        <v>0</v>
      </c>
      <c r="P38">
        <f t="shared" si="1"/>
        <v>4</v>
      </c>
    </row>
    <row r="39" spans="2:16" outlineLevel="1" x14ac:dyDescent="0.25">
      <c r="C39" s="15" t="s">
        <v>289</v>
      </c>
      <c r="F39" s="2" t="s">
        <v>206</v>
      </c>
      <c r="G39" t="str">
        <f>_xlfn.XLOOKUP(Indented_BoM[[#This Row],[Part Number]], Catalogue_Components[Part Number], Catalogue_Components[Descriptive Name], "Component not found!")</f>
        <v>item PlatformClip Platform Adapter</v>
      </c>
      <c r="H39" t="str">
        <f>_xlfn.XLOOKUP(Indented_BoM[[#This Row],[Part Number]], Catalogue_Components[Part Number], Catalogue_Components[Manufacturer], "-")</f>
        <v>Custom</v>
      </c>
      <c r="I39" s="16">
        <v>1</v>
      </c>
      <c r="J39" s="16">
        <f>Indented_BoM[[#This Row],[Part]]</f>
        <v>1</v>
      </c>
      <c r="K39" s="21">
        <f>_xlfn.XLOOKUP(Indented_BoM[[#This Row],[Part Number]], Catalogue_Components[Part Number], Catalogue_Components[Price Per Unit], "")</f>
        <v>0</v>
      </c>
      <c r="L39" s="20">
        <f>_xlfn.XLOOKUP(Indented_BoM[[#This Row],[Part Number]], Catalogue_Components[Part Number], Catalogue_Components[Print Time], "")</f>
        <v>1.8749999999999999E-2</v>
      </c>
      <c r="M39" s="14"/>
      <c r="N39" s="22">
        <f>Indented_BoM[[#This Row],[Part '[CHF']]]*Indented_BoM[[#This Row],[Total]]</f>
        <v>0</v>
      </c>
      <c r="O39" s="20">
        <f>Indented_BoM[[#This Row],[Total]]*Indented_BoM[[#This Row],[Part '[hh:mm']]]</f>
        <v>1.8749999999999999E-2</v>
      </c>
      <c r="P39">
        <f t="shared" si="1"/>
        <v>3</v>
      </c>
    </row>
    <row r="40" spans="2:16" outlineLevel="1" x14ac:dyDescent="0.25">
      <c r="C40" s="15" t="s">
        <v>289</v>
      </c>
      <c r="F40" s="2" t="s">
        <v>207</v>
      </c>
      <c r="G40" t="str">
        <f>_xlfn.XLOOKUP(Indented_BoM[[#This Row],[Part Number]], Catalogue_Components[Part Number], Catalogue_Components[Descriptive Name], "Component not found!")</f>
        <v>item PlatformClip Platform Adapter Mirrored</v>
      </c>
      <c r="H40" t="str">
        <f>_xlfn.XLOOKUP(Indented_BoM[[#This Row],[Part Number]], Catalogue_Components[Part Number], Catalogue_Components[Manufacturer], "-")</f>
        <v>Custom</v>
      </c>
      <c r="I40" s="16">
        <v>1</v>
      </c>
      <c r="J40" s="16">
        <f>Indented_BoM[[#This Row],[Part]]</f>
        <v>1</v>
      </c>
      <c r="K40" s="21">
        <f>_xlfn.XLOOKUP(Indented_BoM[[#This Row],[Part Number]], Catalogue_Components[Part Number], Catalogue_Components[Price Per Unit], "")</f>
        <v>0</v>
      </c>
      <c r="L40" s="20">
        <f>_xlfn.XLOOKUP(Indented_BoM[[#This Row],[Part Number]], Catalogue_Components[Part Number], Catalogue_Components[Print Time], "")</f>
        <v>1.8749999999999999E-2</v>
      </c>
      <c r="M40" s="14"/>
      <c r="N40" s="22">
        <f>Indented_BoM[[#This Row],[Part '[CHF']]]*Indented_BoM[[#This Row],[Total]]</f>
        <v>0</v>
      </c>
      <c r="O40" s="20">
        <f>Indented_BoM[[#This Row],[Total]]*Indented_BoM[[#This Row],[Part '[hh:mm']]]</f>
        <v>1.8749999999999999E-2</v>
      </c>
      <c r="P40">
        <f t="shared" si="1"/>
        <v>3</v>
      </c>
    </row>
    <row r="41" spans="2:16" outlineLevel="1" x14ac:dyDescent="0.25">
      <c r="C41" s="15" t="s">
        <v>289</v>
      </c>
      <c r="F41" s="2" t="s">
        <v>204</v>
      </c>
      <c r="G41" t="str">
        <f>_xlfn.XLOOKUP(Indented_BoM[[#This Row],[Part Number]], Catalogue_Components[Part Number], Catalogue_Components[Descriptive Name], "Component not found!")</f>
        <v>Nozzle Wall Clip Front</v>
      </c>
      <c r="H41" t="str">
        <f>_xlfn.XLOOKUP(Indented_BoM[[#This Row],[Part Number]], Catalogue_Components[Part Number], Catalogue_Components[Manufacturer], "-")</f>
        <v>Custom</v>
      </c>
      <c r="I41" s="16">
        <v>1</v>
      </c>
      <c r="J41" s="16">
        <f>Indented_BoM[[#This Row],[Part]]</f>
        <v>1</v>
      </c>
      <c r="K41" s="21">
        <f>_xlfn.XLOOKUP(Indented_BoM[[#This Row],[Part Number]], Catalogue_Components[Part Number], Catalogue_Components[Price Per Unit], "")</f>
        <v>0</v>
      </c>
      <c r="L41" s="20">
        <f>_xlfn.XLOOKUP(Indented_BoM[[#This Row],[Part Number]], Catalogue_Components[Part Number], Catalogue_Components[Print Time], "")</f>
        <v>1.1111111111111112E-2</v>
      </c>
      <c r="M41" s="14"/>
      <c r="N41" s="22">
        <f>Indented_BoM[[#This Row],[Total]]*Indented_BoM[[#This Row],[Part '[CHF']]]+SUM(N42:N43)</f>
        <v>2.9360000000000004</v>
      </c>
      <c r="O41" s="20">
        <f>Indented_BoM[[#This Row],[Total]]*Indented_BoM[[#This Row],[Part '[hh:mm']]]+SUM(O42:O43)</f>
        <v>1.1111111111111112E-2</v>
      </c>
      <c r="P41">
        <f t="shared" si="1"/>
        <v>3</v>
      </c>
    </row>
    <row r="42" spans="2:16" outlineLevel="1" x14ac:dyDescent="0.25">
      <c r="D42" s="15" t="s">
        <v>289</v>
      </c>
      <c r="F42" s="2" t="s">
        <v>30</v>
      </c>
      <c r="G42" t="str">
        <f>_xlfn.XLOOKUP(Indented_BoM[[#This Row],[Part Number]], Catalogue_Components[Part Number], Catalogue_Components[Descriptive Name], "Component not found!")</f>
        <v>T-slotNnut M5 Profil 5</v>
      </c>
      <c r="H42" t="str">
        <f>_xlfn.XLOOKUP(Indented_BoM[[#This Row],[Part Number]], Catalogue_Components[Part Number], Catalogue_Components[Manufacturer], "-")</f>
        <v>item</v>
      </c>
      <c r="I42" s="16">
        <v>1</v>
      </c>
      <c r="J42" s="16">
        <f>Indented_BoM[[#This Row],[Part]]</f>
        <v>1</v>
      </c>
      <c r="K42" s="21">
        <f>_xlfn.XLOOKUP(Indented_BoM[[#This Row],[Part Number]], Catalogue_Components[Part Number], Catalogue_Components[Price Per Unit], "")</f>
        <v>2.7</v>
      </c>
      <c r="L42" s="20">
        <f>_xlfn.XLOOKUP(Indented_BoM[[#This Row],[Part Number]], Catalogue_Components[Part Number], Catalogue_Components[Print Time], "")</f>
        <v>0</v>
      </c>
      <c r="M42" s="14"/>
      <c r="N42" s="22">
        <f>Indented_BoM[[#This Row],[Part '[CHF']]]*Indented_BoM[[#This Row],[Total]]</f>
        <v>2.7</v>
      </c>
      <c r="O42" s="20">
        <f>Indented_BoM[[#This Row],[Total]]*Indented_BoM[[#This Row],[Part '[hh:mm']]]</f>
        <v>0</v>
      </c>
      <c r="P42">
        <f t="shared" si="1"/>
        <v>4</v>
      </c>
    </row>
    <row r="43" spans="2:16" outlineLevel="1" x14ac:dyDescent="0.25">
      <c r="D43" s="15" t="s">
        <v>289</v>
      </c>
      <c r="F43" s="2" t="s">
        <v>20</v>
      </c>
      <c r="G43" t="str">
        <f>_xlfn.XLOOKUP(Indented_BoM[[#This Row],[Part Number]], Catalogue_Components[Part Number], Catalogue_Components[Descriptive Name], "Component not found!")</f>
        <v>M5x8 Screw Hex Countersunk</v>
      </c>
      <c r="H43" t="str">
        <f>_xlfn.XLOOKUP(Indented_BoM[[#This Row],[Part Number]], Catalogue_Components[Part Number], Catalogue_Components[Manufacturer], "-")</f>
        <v>Bossard</v>
      </c>
      <c r="I43" s="16">
        <v>1</v>
      </c>
      <c r="J43" s="16">
        <f>Indented_BoM[[#This Row],[Part]]</f>
        <v>1</v>
      </c>
      <c r="K43" s="21">
        <f>_xlfn.XLOOKUP(Indented_BoM[[#This Row],[Part Number]], Catalogue_Components[Part Number], Catalogue_Components[Price Per Unit], "")</f>
        <v>0.23600000000000002</v>
      </c>
      <c r="L43" s="20">
        <f>_xlfn.XLOOKUP(Indented_BoM[[#This Row],[Part Number]], Catalogue_Components[Part Number], Catalogue_Components[Print Time], "")</f>
        <v>0</v>
      </c>
      <c r="M43" s="14"/>
      <c r="N43" s="22">
        <f>Indented_BoM[[#This Row],[Part '[CHF']]]*Indented_BoM[[#This Row],[Total]]</f>
        <v>0.23600000000000002</v>
      </c>
      <c r="O43" s="20">
        <f>Indented_BoM[[#This Row],[Total]]*Indented_BoM[[#This Row],[Part '[hh:mm']]]</f>
        <v>0</v>
      </c>
      <c r="P43">
        <f t="shared" si="1"/>
        <v>4</v>
      </c>
    </row>
    <row r="44" spans="2:16" outlineLevel="1" x14ac:dyDescent="0.25">
      <c r="C44" s="15" t="s">
        <v>289</v>
      </c>
      <c r="F44" s="2" t="s">
        <v>205</v>
      </c>
      <c r="G44" t="str">
        <f>_xlfn.XLOOKUP(Indented_BoM[[#This Row],[Part Number]], Catalogue_Components[Part Number], Catalogue_Components[Descriptive Name], "Component not found!")</f>
        <v>Nozzle Wall Clip Rear</v>
      </c>
      <c r="H44" t="str">
        <f>_xlfn.XLOOKUP(Indented_BoM[[#This Row],[Part Number]], Catalogue_Components[Part Number], Catalogue_Components[Manufacturer], "-")</f>
        <v>Custom</v>
      </c>
      <c r="I44" s="16">
        <v>1</v>
      </c>
      <c r="J44" s="16">
        <f>Indented_BoM[[#This Row],[Part]]</f>
        <v>1</v>
      </c>
      <c r="K44" s="21">
        <f>_xlfn.XLOOKUP(Indented_BoM[[#This Row],[Part Number]], Catalogue_Components[Part Number], Catalogue_Components[Price Per Unit], "")</f>
        <v>0</v>
      </c>
      <c r="L44" s="20">
        <f>_xlfn.XLOOKUP(Indented_BoM[[#This Row],[Part Number]], Catalogue_Components[Part Number], Catalogue_Components[Print Time], "")</f>
        <v>1.1111111111111112E-2</v>
      </c>
      <c r="M44" s="14"/>
      <c r="N44" s="22">
        <f>Indented_BoM[[#This Row],[Total]]*Indented_BoM[[#This Row],[Part '[CHF']]]+SUM(N45:N46)</f>
        <v>2.9360000000000004</v>
      </c>
      <c r="O44" s="20">
        <f>Indented_BoM[[#This Row],[Total]]*Indented_BoM[[#This Row],[Part '[hh:mm']]]+SUM(O45:O46)</f>
        <v>1.1111111111111112E-2</v>
      </c>
      <c r="P44">
        <f t="shared" si="1"/>
        <v>3</v>
      </c>
    </row>
    <row r="45" spans="2:16" outlineLevel="1" x14ac:dyDescent="0.25">
      <c r="D45" s="15" t="s">
        <v>289</v>
      </c>
      <c r="F45" s="2" t="s">
        <v>30</v>
      </c>
      <c r="G45" t="str">
        <f>_xlfn.XLOOKUP(Indented_BoM[[#This Row],[Part Number]], Catalogue_Components[Part Number], Catalogue_Components[Descriptive Name], "Component not found!")</f>
        <v>T-slotNnut M5 Profil 5</v>
      </c>
      <c r="H45" t="str">
        <f>_xlfn.XLOOKUP(Indented_BoM[[#This Row],[Part Number]], Catalogue_Components[Part Number], Catalogue_Components[Manufacturer], "-")</f>
        <v>item</v>
      </c>
      <c r="I45" s="16">
        <v>1</v>
      </c>
      <c r="J45" s="16">
        <f>Indented_BoM[[#This Row],[Part]]</f>
        <v>1</v>
      </c>
      <c r="K45" s="21">
        <f>_xlfn.XLOOKUP(Indented_BoM[[#This Row],[Part Number]], Catalogue_Components[Part Number], Catalogue_Components[Price Per Unit], "")</f>
        <v>2.7</v>
      </c>
      <c r="L45" s="20">
        <f>_xlfn.XLOOKUP(Indented_BoM[[#This Row],[Part Number]], Catalogue_Components[Part Number], Catalogue_Components[Print Time], "")</f>
        <v>0</v>
      </c>
      <c r="M45" s="14"/>
      <c r="N45" s="22">
        <f>Indented_BoM[[#This Row],[Part '[CHF']]]*Indented_BoM[[#This Row],[Total]]</f>
        <v>2.7</v>
      </c>
      <c r="O45" s="20">
        <f>Indented_BoM[[#This Row],[Total]]*Indented_BoM[[#This Row],[Part '[hh:mm']]]</f>
        <v>0</v>
      </c>
      <c r="P45">
        <f t="shared" si="1"/>
        <v>4</v>
      </c>
    </row>
    <row r="46" spans="2:16" outlineLevel="1" x14ac:dyDescent="0.25">
      <c r="D46" s="15" t="s">
        <v>289</v>
      </c>
      <c r="F46" s="2" t="s">
        <v>20</v>
      </c>
      <c r="G46" t="str">
        <f>_xlfn.XLOOKUP(Indented_BoM[[#This Row],[Part Number]], Catalogue_Components[Part Number], Catalogue_Components[Descriptive Name], "Component not found!")</f>
        <v>M5x8 Screw Hex Countersunk</v>
      </c>
      <c r="H46" t="str">
        <f>_xlfn.XLOOKUP(Indented_BoM[[#This Row],[Part Number]], Catalogue_Components[Part Number], Catalogue_Components[Manufacturer], "-")</f>
        <v>Bossard</v>
      </c>
      <c r="I46" s="16">
        <v>1</v>
      </c>
      <c r="J46" s="16">
        <f>Indented_BoM[[#This Row],[Part]]</f>
        <v>1</v>
      </c>
      <c r="K46" s="21">
        <f>_xlfn.XLOOKUP(Indented_BoM[[#This Row],[Part Number]], Catalogue_Components[Part Number], Catalogue_Components[Price Per Unit], "")</f>
        <v>0.23600000000000002</v>
      </c>
      <c r="L46" s="20">
        <f>_xlfn.XLOOKUP(Indented_BoM[[#This Row],[Part Number]], Catalogue_Components[Part Number], Catalogue_Components[Print Time], "")</f>
        <v>0</v>
      </c>
      <c r="M46" s="14"/>
      <c r="N46" s="22">
        <f>Indented_BoM[[#This Row],[Part '[CHF']]]*Indented_BoM[[#This Row],[Total]]</f>
        <v>0.23600000000000002</v>
      </c>
      <c r="O46" s="20">
        <f>Indented_BoM[[#This Row],[Total]]*Indented_BoM[[#This Row],[Part '[hh:mm']]]</f>
        <v>0</v>
      </c>
      <c r="P46">
        <f t="shared" si="1"/>
        <v>4</v>
      </c>
    </row>
    <row r="47" spans="2:16" outlineLevel="1" x14ac:dyDescent="0.25">
      <c r="B47" s="15" t="s">
        <v>289</v>
      </c>
      <c r="F47" s="2" t="s">
        <v>24</v>
      </c>
      <c r="G47" t="str">
        <f>_xlfn.XLOOKUP(Indented_BoM[[#This Row],[Part Number]], Catalogue_Components[Part Number], Catalogue_Components[Descriptive Name], "Component not found!")</f>
        <v>Flat Washer M3</v>
      </c>
      <c r="H47" t="str">
        <f>_xlfn.XLOOKUP(Indented_BoM[[#This Row],[Part Number]], Catalogue_Components[Part Number], Catalogue_Components[Manufacturer], "-")</f>
        <v>Bossard</v>
      </c>
      <c r="I47" s="16">
        <v>6</v>
      </c>
      <c r="J47" s="16">
        <f>Indented_BoM[[#This Row],[Part]]</f>
        <v>6</v>
      </c>
      <c r="K47" s="21">
        <f>_xlfn.XLOOKUP(Indented_BoM[[#This Row],[Part Number]], Catalogue_Components[Part Number], Catalogue_Components[Price Per Unit], "")</f>
        <v>3.2000000000000001E-2</v>
      </c>
      <c r="L47" s="20">
        <f>_xlfn.XLOOKUP(Indented_BoM[[#This Row],[Part Number]], Catalogue_Components[Part Number], Catalogue_Components[Print Time], "")</f>
        <v>0</v>
      </c>
      <c r="M47" s="14"/>
      <c r="N47" s="22">
        <f>Indented_BoM[[#This Row],[Part '[CHF']]]*Indented_BoM[[#This Row],[Total]]</f>
        <v>0.192</v>
      </c>
      <c r="O47" s="20">
        <f>Indented_BoM[[#This Row],[Total]]*Indented_BoM[[#This Row],[Part '[hh:mm']]]</f>
        <v>0</v>
      </c>
      <c r="P47">
        <f t="shared" si="1"/>
        <v>2</v>
      </c>
    </row>
    <row r="48" spans="2:16" outlineLevel="1" x14ac:dyDescent="0.25">
      <c r="B48" s="15" t="s">
        <v>289</v>
      </c>
      <c r="F48" s="2" t="s">
        <v>18</v>
      </c>
      <c r="G48" t="str">
        <f>_xlfn.XLOOKUP(Indented_BoM[[#This Row],[Part Number]], Catalogue_Components[Part Number], Catalogue_Components[Descriptive Name], "Component not found!")</f>
        <v>M3x8 Screw Hex Countersunk</v>
      </c>
      <c r="H48" t="str">
        <f>_xlfn.XLOOKUP(Indented_BoM[[#This Row],[Part Number]], Catalogue_Components[Part Number], Catalogue_Components[Manufacturer], "-")</f>
        <v>Bossard</v>
      </c>
      <c r="I48" s="16">
        <v>12</v>
      </c>
      <c r="J48" s="16">
        <f>Indented_BoM[[#This Row],[Part]]</f>
        <v>12</v>
      </c>
      <c r="K48" s="21">
        <f>_xlfn.XLOOKUP(Indented_BoM[[#This Row],[Part Number]], Catalogue_Components[Part Number], Catalogue_Components[Price Per Unit], "")</f>
        <v>0.183</v>
      </c>
      <c r="L48" s="20">
        <f>_xlfn.XLOOKUP(Indented_BoM[[#This Row],[Part Number]], Catalogue_Components[Part Number], Catalogue_Components[Print Time], "")</f>
        <v>0</v>
      </c>
      <c r="M48" s="14"/>
      <c r="N48" s="22">
        <f>Indented_BoM[[#This Row],[Part '[CHF']]]*Indented_BoM[[#This Row],[Total]]</f>
        <v>2.1959999999999997</v>
      </c>
      <c r="O48" s="20">
        <f>Indented_BoM[[#This Row],[Total]]*Indented_BoM[[#This Row],[Part '[hh:mm']]]</f>
        <v>0</v>
      </c>
      <c r="P48">
        <f t="shared" si="1"/>
        <v>2</v>
      </c>
    </row>
    <row r="49" spans="1:16" outlineLevel="1" x14ac:dyDescent="0.25">
      <c r="B49" s="15" t="s">
        <v>289</v>
      </c>
      <c r="F49" s="2" t="s">
        <v>16</v>
      </c>
      <c r="G49" t="str">
        <f>_xlfn.XLOOKUP(Indented_BoM[[#This Row],[Part Number]], Catalogue_Components[Part Number], Catalogue_Components[Descriptive Name], "Component not found!")</f>
        <v>M3x8 Screw Hex Socket</v>
      </c>
      <c r="H49" t="str">
        <f>_xlfn.XLOOKUP(Indented_BoM[[#This Row],[Part Number]], Catalogue_Components[Part Number], Catalogue_Components[Manufacturer], "-")</f>
        <v>Bossard</v>
      </c>
      <c r="I49" s="16">
        <v>6</v>
      </c>
      <c r="J49" s="16">
        <f>Indented_BoM[[#This Row],[Part]]</f>
        <v>6</v>
      </c>
      <c r="K49" s="21">
        <f>_xlfn.XLOOKUP(Indented_BoM[[#This Row],[Part Number]], Catalogue_Components[Part Number], Catalogue_Components[Price Per Unit], "")</f>
        <v>0.188</v>
      </c>
      <c r="L49" s="20">
        <f>_xlfn.XLOOKUP(Indented_BoM[[#This Row],[Part Number]], Catalogue_Components[Part Number], Catalogue_Components[Print Time], "")</f>
        <v>0</v>
      </c>
      <c r="M49" s="14"/>
      <c r="N49" s="22">
        <f>Indented_BoM[[#This Row],[Part '[CHF']]]*Indented_BoM[[#This Row],[Total]]</f>
        <v>1.1280000000000001</v>
      </c>
      <c r="O49" s="20">
        <f>Indented_BoM[[#This Row],[Total]]*Indented_BoM[[#This Row],[Part '[hh:mm']]]</f>
        <v>0</v>
      </c>
      <c r="P49">
        <f t="shared" si="1"/>
        <v>2</v>
      </c>
    </row>
    <row r="50" spans="1:16" x14ac:dyDescent="0.25">
      <c r="A50" s="15" t="s">
        <v>289</v>
      </c>
      <c r="F50" s="2" t="s">
        <v>297</v>
      </c>
      <c r="G50" t="str">
        <f>_xlfn.XLOOKUP(Indented_BoM[[#This Row],[Part Number]], Catalogue_Components[Part Number], Catalogue_Components[Descriptive Name], "Component not found!")</f>
        <v>Support Frame</v>
      </c>
      <c r="H50" t="str">
        <f>_xlfn.XLOOKUP(Indented_BoM[[#This Row],[Part Number]], Catalogue_Components[Part Number], Catalogue_Components[Manufacturer], "-")</f>
        <v>Custom</v>
      </c>
      <c r="I50" s="16">
        <v>1</v>
      </c>
      <c r="J50" s="16">
        <f>Indented_BoM[[#This Row],[Part]]</f>
        <v>1</v>
      </c>
      <c r="K50" s="21">
        <f>_xlfn.XLOOKUP(Indented_BoM[[#This Row],[Part Number]], Catalogue_Components[Part Number], Catalogue_Components[Price Per Unit], "")</f>
        <v>0</v>
      </c>
      <c r="L50" s="20">
        <f>_xlfn.XLOOKUP(Indented_BoM[[#This Row],[Part Number]], Catalogue_Components[Part Number], Catalogue_Components[Print Time], "")</f>
        <v>0</v>
      </c>
      <c r="M50" s="14"/>
      <c r="N50" s="22">
        <f>Indented_BoM[[#This Row],[Part '[CHF']]]*Indented_BoM[[#This Row],[Total]]+SUMIF(P51:P71,Indented_BoM[[#This Row],[Assy-Lvl]]+1,N51:N71)</f>
        <v>546.69983999999988</v>
      </c>
      <c r="O50" s="20">
        <f>Indented_BoM[[#This Row],[Part '[hh:mm']]]*Indented_BoM[[#This Row],[Total]]+SUMIF(P51:P71,Indented_BoM[[#This Row],[Assy-Lvl]]+1,O51:O71)</f>
        <v>0.88055555555555554</v>
      </c>
      <c r="P50">
        <f t="shared" si="1"/>
        <v>1</v>
      </c>
    </row>
    <row r="51" spans="1:16" outlineLevel="1" x14ac:dyDescent="0.25">
      <c r="B51" s="15" t="s">
        <v>289</v>
      </c>
      <c r="F51" s="2">
        <v>0</v>
      </c>
      <c r="G51" t="str">
        <f>_xlfn.XLOOKUP(Indented_BoM[[#This Row],[Part Number]], Catalogue_Components[Part Number], Catalogue_Components[Descriptive Name], "Component not found!")</f>
        <v>Fishtank</v>
      </c>
      <c r="H51" t="str">
        <f>_xlfn.XLOOKUP(Indented_BoM[[#This Row],[Part Number]], Catalogue_Components[Part Number], Catalogue_Components[Manufacturer], "-")</f>
        <v>olibetta</v>
      </c>
      <c r="I51" s="16">
        <v>1</v>
      </c>
      <c r="J51" s="16">
        <f>Indented_BoM[[#This Row],[Part]]</f>
        <v>1</v>
      </c>
      <c r="K51" s="21">
        <f>_xlfn.XLOOKUP(Indented_BoM[[#This Row],[Part Number]], Catalogue_Components[Part Number], Catalogue_Components[Price Per Unit], "")</f>
        <v>295</v>
      </c>
      <c r="L51" s="20">
        <f>_xlfn.XLOOKUP(Indented_BoM[[#This Row],[Part Number]], Catalogue_Components[Part Number], Catalogue_Components[Print Time], "")</f>
        <v>0</v>
      </c>
      <c r="M51" s="14"/>
      <c r="N51" s="22">
        <f>Indented_BoM[[#This Row],[Part '[CHF']]]*Indented_BoM[[#This Row],[Total]]</f>
        <v>295</v>
      </c>
      <c r="O51" s="20">
        <f>Indented_BoM[[#This Row],[Total]]*Indented_BoM[[#This Row],[Part '[hh:mm']]]</f>
        <v>0</v>
      </c>
      <c r="P51">
        <f t="shared" si="1"/>
        <v>2</v>
      </c>
    </row>
    <row r="52" spans="1:16" outlineLevel="1" x14ac:dyDescent="0.25">
      <c r="B52" s="15" t="s">
        <v>289</v>
      </c>
      <c r="F52" s="2" t="s">
        <v>81</v>
      </c>
      <c r="G52" t="str">
        <f>_xlfn.XLOOKUP(Indented_BoM[[#This Row],[Part Number]], Catalogue_Components[Part Number], Catalogue_Components[Descriptive Name], "Component not found!")</f>
        <v>item Frame Outside Height (L = 206 mm)</v>
      </c>
      <c r="H52" t="str">
        <f>_xlfn.XLOOKUP(Indented_BoM[[#This Row],[Part Number]], Catalogue_Components[Part Number], Catalogue_Components[Manufacturer], "-")</f>
        <v>item</v>
      </c>
      <c r="I52" s="16">
        <v>4</v>
      </c>
      <c r="J52" s="16">
        <f>Indented_BoM[[#This Row],[Part]]</f>
        <v>4</v>
      </c>
      <c r="K52" s="21">
        <f>_xlfn.XLOOKUP(Indented_BoM[[#This Row],[Part Number]], Catalogue_Components[Part Number], Catalogue_Components[Price Per Unit], "")</f>
        <v>7.5087199999999994</v>
      </c>
      <c r="L52" s="20">
        <f>_xlfn.XLOOKUP(Indented_BoM[[#This Row],[Part Number]], Catalogue_Components[Part Number], Catalogue_Components[Print Time], "")</f>
        <v>0</v>
      </c>
      <c r="M52" s="14"/>
      <c r="N52" s="22">
        <f>Indented_BoM[[#This Row],[Part '[CHF']]]*Indented_BoM[[#This Row],[Total]]</f>
        <v>30.034879999999998</v>
      </c>
      <c r="O52" s="20">
        <f>Indented_BoM[[#This Row],[Total]]*Indented_BoM[[#This Row],[Part '[hh:mm']]]</f>
        <v>0</v>
      </c>
      <c r="P52">
        <f t="shared" si="1"/>
        <v>2</v>
      </c>
    </row>
    <row r="53" spans="1:16" outlineLevel="1" x14ac:dyDescent="0.25">
      <c r="B53" s="15" t="s">
        <v>289</v>
      </c>
      <c r="F53" s="2" t="s">
        <v>196</v>
      </c>
      <c r="G53" t="str">
        <f>_xlfn.XLOOKUP(Indented_BoM[[#This Row],[Part Number]], Catalogue_Components[Part Number], Catalogue_Components[Descriptive Name], "Component not found!")</f>
        <v>CornerClip Male</v>
      </c>
      <c r="H53" t="str">
        <f>_xlfn.XLOOKUP(Indented_BoM[[#This Row],[Part Number]], Catalogue_Components[Part Number], Catalogue_Components[Manufacturer], "-")</f>
        <v>Custom</v>
      </c>
      <c r="I53" s="16">
        <v>20</v>
      </c>
      <c r="J53" s="16">
        <f>Indented_BoM[[#This Row],[Part]]</f>
        <v>20</v>
      </c>
      <c r="K53" s="21">
        <f>_xlfn.XLOOKUP(Indented_BoM[[#This Row],[Part Number]], Catalogue_Components[Part Number], Catalogue_Components[Price Per Unit], "")</f>
        <v>0</v>
      </c>
      <c r="L53" s="20">
        <f>_xlfn.XLOOKUP(Indented_BoM[[#This Row],[Part Number]], Catalogue_Components[Part Number], Catalogue_Components[Print Time], "")</f>
        <v>1.8749999999999999E-2</v>
      </c>
      <c r="M53" s="14"/>
      <c r="N53" s="22">
        <f>Indented_BoM[[#This Row],[Total]]*Indented_BoM[[#This Row],[Part '[CHF']]]+SUM(N54:N55)</f>
        <v>2.9360000000000004</v>
      </c>
      <c r="O53" s="20">
        <f>Indented_BoM[[#This Row],[Total]]*Indented_BoM[[#This Row],[Part '[hh:mm']]]+SUM(O54:O55)</f>
        <v>0.375</v>
      </c>
      <c r="P53">
        <f t="shared" si="1"/>
        <v>2</v>
      </c>
    </row>
    <row r="54" spans="1:16" outlineLevel="1" x14ac:dyDescent="0.25">
      <c r="C54" s="15" t="s">
        <v>289</v>
      </c>
      <c r="F54" s="2" t="s">
        <v>30</v>
      </c>
      <c r="G54" t="str">
        <f>_xlfn.XLOOKUP(Indented_BoM[[#This Row],[Part Number]], Catalogue_Components[Part Number], Catalogue_Components[Descriptive Name], "Component not found!")</f>
        <v>T-slotNnut M5 Profil 5</v>
      </c>
      <c r="H54" t="str">
        <f>_xlfn.XLOOKUP(Indented_BoM[[#This Row],[Part Number]], Catalogue_Components[Part Number], Catalogue_Components[Manufacturer], "-")</f>
        <v>item</v>
      </c>
      <c r="I54" s="16">
        <v>1</v>
      </c>
      <c r="J54" s="16">
        <f>Indented_BoM[[#This Row],[Part]]</f>
        <v>1</v>
      </c>
      <c r="K54" s="21">
        <f>_xlfn.XLOOKUP(Indented_BoM[[#This Row],[Part Number]], Catalogue_Components[Part Number], Catalogue_Components[Price Per Unit], "")</f>
        <v>2.7</v>
      </c>
      <c r="L54" s="20">
        <f>_xlfn.XLOOKUP(Indented_BoM[[#This Row],[Part Number]], Catalogue_Components[Part Number], Catalogue_Components[Print Time], "")</f>
        <v>0</v>
      </c>
      <c r="M54" s="14"/>
      <c r="N54" s="22">
        <f>Indented_BoM[[#This Row],[Part '[CHF']]]*Indented_BoM[[#This Row],[Total]]</f>
        <v>2.7</v>
      </c>
      <c r="O54" s="20">
        <f>Indented_BoM[[#This Row],[Total]]*Indented_BoM[[#This Row],[Part '[hh:mm']]]</f>
        <v>0</v>
      </c>
      <c r="P54">
        <f t="shared" si="1"/>
        <v>3</v>
      </c>
    </row>
    <row r="55" spans="1:16" outlineLevel="1" x14ac:dyDescent="0.25">
      <c r="C55" s="15" t="s">
        <v>289</v>
      </c>
      <c r="F55" s="2" t="s">
        <v>20</v>
      </c>
      <c r="G55" t="str">
        <f>_xlfn.XLOOKUP(Indented_BoM[[#This Row],[Part Number]], Catalogue_Components[Part Number], Catalogue_Components[Descriptive Name], "Component not found!")</f>
        <v>M5x8 Screw Hex Countersunk</v>
      </c>
      <c r="H55" t="str">
        <f>_xlfn.XLOOKUP(Indented_BoM[[#This Row],[Part Number]], Catalogue_Components[Part Number], Catalogue_Components[Manufacturer], "-")</f>
        <v>Bossard</v>
      </c>
      <c r="I55" s="16">
        <v>1</v>
      </c>
      <c r="J55" s="16">
        <f>Indented_BoM[[#This Row],[Part]]</f>
        <v>1</v>
      </c>
      <c r="K55" s="21">
        <f>_xlfn.XLOOKUP(Indented_BoM[[#This Row],[Part Number]], Catalogue_Components[Part Number], Catalogue_Components[Price Per Unit], "")</f>
        <v>0.23600000000000002</v>
      </c>
      <c r="L55" s="20">
        <f>_xlfn.XLOOKUP(Indented_BoM[[#This Row],[Part Number]], Catalogue_Components[Part Number], Catalogue_Components[Print Time], "")</f>
        <v>0</v>
      </c>
      <c r="M55" s="14"/>
      <c r="N55" s="22">
        <f>Indented_BoM[[#This Row],[Part '[CHF']]]*Indented_BoM[[#This Row],[Total]]</f>
        <v>0.23600000000000002</v>
      </c>
      <c r="O55" s="20">
        <f>Indented_BoM[[#This Row],[Total]]*Indented_BoM[[#This Row],[Part '[hh:mm']]]</f>
        <v>0</v>
      </c>
      <c r="P55">
        <f t="shared" si="1"/>
        <v>3</v>
      </c>
    </row>
    <row r="56" spans="1:16" outlineLevel="1" x14ac:dyDescent="0.25">
      <c r="B56" s="15" t="s">
        <v>289</v>
      </c>
      <c r="F56" s="2" t="s">
        <v>197</v>
      </c>
      <c r="G56" t="str">
        <f>_xlfn.XLOOKUP(Indented_BoM[[#This Row],[Part Number]], Catalogue_Components[Part Number], Catalogue_Components[Descriptive Name], "Component not found!")</f>
        <v>item PlatformClip Rail Adapter</v>
      </c>
      <c r="H56" t="str">
        <f>_xlfn.XLOOKUP(Indented_BoM[[#This Row],[Part Number]], Catalogue_Components[Part Number], Catalogue_Components[Manufacturer], "-")</f>
        <v>Custom</v>
      </c>
      <c r="I56" s="16">
        <v>14</v>
      </c>
      <c r="J56" s="16">
        <f>Indented_BoM[[#This Row],[Part]]</f>
        <v>14</v>
      </c>
      <c r="K56" s="21">
        <f>_xlfn.XLOOKUP(Indented_BoM[[#This Row],[Part Number]], Catalogue_Components[Part Number], Catalogue_Components[Price Per Unit], "")</f>
        <v>0</v>
      </c>
      <c r="L56" s="20">
        <f>_xlfn.XLOOKUP(Indented_BoM[[#This Row],[Part Number]], Catalogue_Components[Part Number], Catalogue_Components[Print Time], "")</f>
        <v>1.1805555555555555E-2</v>
      </c>
      <c r="M56" s="14"/>
      <c r="N56" s="22">
        <f>Indented_BoM[[#This Row],[Total]]*Indented_BoM[[#This Row],[Part '[CHF']]]+SUM(N57:N58)</f>
        <v>2.9360000000000004</v>
      </c>
      <c r="O56" s="20">
        <f>Indented_BoM[[#This Row],[Total]]*Indented_BoM[[#This Row],[Part '[hh:mm']]]+SUM(O57:O58)</f>
        <v>0.16527777777777777</v>
      </c>
      <c r="P56">
        <f t="shared" si="1"/>
        <v>2</v>
      </c>
    </row>
    <row r="57" spans="1:16" outlineLevel="1" x14ac:dyDescent="0.25">
      <c r="C57" s="15" t="s">
        <v>289</v>
      </c>
      <c r="F57" s="2" t="s">
        <v>30</v>
      </c>
      <c r="G57" t="str">
        <f>_xlfn.XLOOKUP(Indented_BoM[[#This Row],[Part Number]], Catalogue_Components[Part Number], Catalogue_Components[Descriptive Name], "Component not found!")</f>
        <v>T-slotNnut M5 Profil 5</v>
      </c>
      <c r="H57" t="str">
        <f>_xlfn.XLOOKUP(Indented_BoM[[#This Row],[Part Number]], Catalogue_Components[Part Number], Catalogue_Components[Manufacturer], "-")</f>
        <v>item</v>
      </c>
      <c r="I57" s="16">
        <v>1</v>
      </c>
      <c r="J57" s="16">
        <f>Indented_BoM[[#This Row],[Part]]</f>
        <v>1</v>
      </c>
      <c r="K57" s="21">
        <f>_xlfn.XLOOKUP(Indented_BoM[[#This Row],[Part Number]], Catalogue_Components[Part Number], Catalogue_Components[Price Per Unit], "")</f>
        <v>2.7</v>
      </c>
      <c r="L57" s="20">
        <f>_xlfn.XLOOKUP(Indented_BoM[[#This Row],[Part Number]], Catalogue_Components[Part Number], Catalogue_Components[Print Time], "")</f>
        <v>0</v>
      </c>
      <c r="M57" s="14"/>
      <c r="N57" s="22">
        <f>Indented_BoM[[#This Row],[Part '[CHF']]]*Indented_BoM[[#This Row],[Total]]</f>
        <v>2.7</v>
      </c>
      <c r="O57" s="20">
        <f>Indented_BoM[[#This Row],[Total]]*Indented_BoM[[#This Row],[Part '[hh:mm']]]</f>
        <v>0</v>
      </c>
      <c r="P57">
        <f t="shared" si="1"/>
        <v>3</v>
      </c>
    </row>
    <row r="58" spans="1:16" outlineLevel="1" x14ac:dyDescent="0.25">
      <c r="C58" s="15" t="s">
        <v>289</v>
      </c>
      <c r="F58" s="2" t="s">
        <v>20</v>
      </c>
      <c r="G58" t="str">
        <f>_xlfn.XLOOKUP(Indented_BoM[[#This Row],[Part Number]], Catalogue_Components[Part Number], Catalogue_Components[Descriptive Name], "Component not found!")</f>
        <v>M5x8 Screw Hex Countersunk</v>
      </c>
      <c r="H58" t="str">
        <f>_xlfn.XLOOKUP(Indented_BoM[[#This Row],[Part Number]], Catalogue_Components[Part Number], Catalogue_Components[Manufacturer], "-")</f>
        <v>Bossard</v>
      </c>
      <c r="I58" s="16">
        <v>1</v>
      </c>
      <c r="J58" s="16">
        <f>Indented_BoM[[#This Row],[Part]]</f>
        <v>1</v>
      </c>
      <c r="K58" s="21">
        <f>_xlfn.XLOOKUP(Indented_BoM[[#This Row],[Part Number]], Catalogue_Components[Part Number], Catalogue_Components[Price Per Unit], "")</f>
        <v>0.23600000000000002</v>
      </c>
      <c r="L58" s="20">
        <f>_xlfn.XLOOKUP(Indented_BoM[[#This Row],[Part Number]], Catalogue_Components[Part Number], Catalogue_Components[Print Time], "")</f>
        <v>0</v>
      </c>
      <c r="M58" s="14"/>
      <c r="N58" s="22">
        <f>Indented_BoM[[#This Row],[Part '[CHF']]]*Indented_BoM[[#This Row],[Total]]</f>
        <v>0.23600000000000002</v>
      </c>
      <c r="O58" s="20">
        <f>Indented_BoM[[#This Row],[Total]]*Indented_BoM[[#This Row],[Part '[hh:mm']]]</f>
        <v>0</v>
      </c>
      <c r="P58">
        <f t="shared" si="1"/>
        <v>3</v>
      </c>
    </row>
    <row r="59" spans="1:16" outlineLevel="1" x14ac:dyDescent="0.25">
      <c r="B59" s="15" t="s">
        <v>289</v>
      </c>
      <c r="F59" s="2" t="s">
        <v>9</v>
      </c>
      <c r="G59" t="str">
        <f>_xlfn.XLOOKUP(Indented_BoM[[#This Row],[Part Number]], Catalogue_Components[Part Number], Catalogue_Components[Descriptive Name], "Component not found!")</f>
        <v>Automatic-Fastening Set  Profil 5</v>
      </c>
      <c r="H59" t="str">
        <f>_xlfn.XLOOKUP(Indented_BoM[[#This Row],[Part Number]], Catalogue_Components[Part Number], Catalogue_Components[Manufacturer], "-")</f>
        <v>item</v>
      </c>
      <c r="I59" s="16">
        <v>8</v>
      </c>
      <c r="J59" s="16">
        <f>Indented_BoM[[#This Row],[Part]]</f>
        <v>8</v>
      </c>
      <c r="K59" s="21">
        <f>_xlfn.XLOOKUP(Indented_BoM[[#This Row],[Part Number]], Catalogue_Components[Part Number], Catalogue_Components[Price Per Unit], "")</f>
        <v>10.99</v>
      </c>
      <c r="L59" s="20">
        <f>_xlfn.XLOOKUP(Indented_BoM[[#This Row],[Part Number]], Catalogue_Components[Part Number], Catalogue_Components[Print Time], "")</f>
        <v>0</v>
      </c>
      <c r="M59" s="14"/>
      <c r="N59" s="22">
        <f>Indented_BoM[[#This Row],[Part '[CHF']]]*Indented_BoM[[#This Row],[Total]]</f>
        <v>87.92</v>
      </c>
      <c r="O59" s="20">
        <f>Indented_BoM[[#This Row],[Total]]*Indented_BoM[[#This Row],[Part '[hh:mm']]]</f>
        <v>0</v>
      </c>
      <c r="P59">
        <f t="shared" si="1"/>
        <v>2</v>
      </c>
    </row>
    <row r="60" spans="1:16" outlineLevel="1" x14ac:dyDescent="0.25">
      <c r="B60" s="15" t="s">
        <v>289</v>
      </c>
      <c r="F60" s="2" t="s">
        <v>195</v>
      </c>
      <c r="G60" t="str">
        <f>_xlfn.XLOOKUP(Indented_BoM[[#This Row],[Part Number]], Catalogue_Components[Part Number], Catalogue_Components[Descriptive Name], "Component not found!")</f>
        <v>CornerClip Female</v>
      </c>
      <c r="H60" t="str">
        <f>_xlfn.XLOOKUP(Indented_BoM[[#This Row],[Part Number]], Catalogue_Components[Part Number], Catalogue_Components[Manufacturer], "-")</f>
        <v>Custom</v>
      </c>
      <c r="I60" s="16">
        <v>16</v>
      </c>
      <c r="J60" s="16">
        <f>Indented_BoM[[#This Row],[Part]]</f>
        <v>16</v>
      </c>
      <c r="K60" s="21">
        <f>_xlfn.XLOOKUP(Indented_BoM[[#This Row],[Part Number]], Catalogue_Components[Part Number], Catalogue_Components[Price Per Unit], "")</f>
        <v>0</v>
      </c>
      <c r="L60" s="20">
        <f>_xlfn.XLOOKUP(Indented_BoM[[#This Row],[Part Number]], Catalogue_Components[Part Number], Catalogue_Components[Print Time], "")</f>
        <v>1.5972222222222221E-2</v>
      </c>
      <c r="M60" s="14"/>
      <c r="N60" s="22">
        <f>Indented_BoM[[#This Row],[Total]]*Indented_BoM[[#This Row],[Part '[CHF']]]+SUM(N61:N62)</f>
        <v>2.9360000000000004</v>
      </c>
      <c r="O60" s="20">
        <f>Indented_BoM[[#This Row],[Total]]*Indented_BoM[[#This Row],[Part '[hh:mm']]]+SUM(O61:O62)</f>
        <v>0.25555555555555554</v>
      </c>
      <c r="P60">
        <f t="shared" si="1"/>
        <v>2</v>
      </c>
    </row>
    <row r="61" spans="1:16" outlineLevel="1" x14ac:dyDescent="0.25">
      <c r="C61" s="15" t="s">
        <v>289</v>
      </c>
      <c r="F61" s="2" t="s">
        <v>30</v>
      </c>
      <c r="G61" t="str">
        <f>_xlfn.XLOOKUP(Indented_BoM[[#This Row],[Part Number]], Catalogue_Components[Part Number], Catalogue_Components[Descriptive Name], "Component not found!")</f>
        <v>T-slotNnut M5 Profil 5</v>
      </c>
      <c r="H61" t="str">
        <f>_xlfn.XLOOKUP(Indented_BoM[[#This Row],[Part Number]], Catalogue_Components[Part Number], Catalogue_Components[Manufacturer], "-")</f>
        <v>item</v>
      </c>
      <c r="I61" s="16">
        <v>1</v>
      </c>
      <c r="J61" s="16">
        <f>Indented_BoM[[#This Row],[Part]]</f>
        <v>1</v>
      </c>
      <c r="K61" s="21">
        <f>_xlfn.XLOOKUP(Indented_BoM[[#This Row],[Part Number]], Catalogue_Components[Part Number], Catalogue_Components[Price Per Unit], "")</f>
        <v>2.7</v>
      </c>
      <c r="L61" s="20">
        <f>_xlfn.XLOOKUP(Indented_BoM[[#This Row],[Part Number]], Catalogue_Components[Part Number], Catalogue_Components[Print Time], "")</f>
        <v>0</v>
      </c>
      <c r="M61" s="14"/>
      <c r="N61" s="22">
        <f>Indented_BoM[[#This Row],[Part '[CHF']]]*Indented_BoM[[#This Row],[Total]]</f>
        <v>2.7</v>
      </c>
      <c r="O61" s="20">
        <f>Indented_BoM[[#This Row],[Total]]*Indented_BoM[[#This Row],[Part '[hh:mm']]]</f>
        <v>0</v>
      </c>
      <c r="P61">
        <f t="shared" si="1"/>
        <v>3</v>
      </c>
    </row>
    <row r="62" spans="1:16" outlineLevel="1" x14ac:dyDescent="0.25">
      <c r="C62" s="15" t="s">
        <v>289</v>
      </c>
      <c r="F62" s="2" t="s">
        <v>20</v>
      </c>
      <c r="G62" t="str">
        <f>_xlfn.XLOOKUP(Indented_BoM[[#This Row],[Part Number]], Catalogue_Components[Part Number], Catalogue_Components[Descriptive Name], "Component not found!")</f>
        <v>M5x8 Screw Hex Countersunk</v>
      </c>
      <c r="H62" t="str">
        <f>_xlfn.XLOOKUP(Indented_BoM[[#This Row],[Part Number]], Catalogue_Components[Part Number], Catalogue_Components[Manufacturer], "-")</f>
        <v>Bossard</v>
      </c>
      <c r="I62" s="16">
        <v>1</v>
      </c>
      <c r="J62" s="16">
        <f>Indented_BoM[[#This Row],[Part]]</f>
        <v>1</v>
      </c>
      <c r="K62" s="21">
        <f>_xlfn.XLOOKUP(Indented_BoM[[#This Row],[Part Number]], Catalogue_Components[Part Number], Catalogue_Components[Price Per Unit], "")</f>
        <v>0.23600000000000002</v>
      </c>
      <c r="L62" s="20">
        <f>_xlfn.XLOOKUP(Indented_BoM[[#This Row],[Part Number]], Catalogue_Components[Part Number], Catalogue_Components[Print Time], "")</f>
        <v>0</v>
      </c>
      <c r="M62" s="14"/>
      <c r="N62" s="22">
        <f>Indented_BoM[[#This Row],[Part '[CHF']]]*Indented_BoM[[#This Row],[Total]]</f>
        <v>0.23600000000000002</v>
      </c>
      <c r="O62" s="20">
        <f>Indented_BoM[[#This Row],[Total]]*Indented_BoM[[#This Row],[Part '[hh:mm']]]</f>
        <v>0</v>
      </c>
      <c r="P62">
        <f t="shared" si="1"/>
        <v>3</v>
      </c>
    </row>
    <row r="63" spans="1:16" outlineLevel="1" x14ac:dyDescent="0.25">
      <c r="B63" s="15" t="s">
        <v>289</v>
      </c>
      <c r="F63" s="2" t="s">
        <v>75</v>
      </c>
      <c r="G63" t="str">
        <f>_xlfn.XLOOKUP(Indented_BoM[[#This Row],[Part Number]], Catalogue_Components[Part Number], Catalogue_Components[Descriptive Name], "Component not found!")</f>
        <v>item Frame Outside Length (L = 946 mm)</v>
      </c>
      <c r="H63" t="str">
        <f>_xlfn.XLOOKUP(Indented_BoM[[#This Row],[Part Number]], Catalogue_Components[Part Number], Catalogue_Components[Manufacturer], "-")</f>
        <v>item</v>
      </c>
      <c r="I63" s="16">
        <v>4</v>
      </c>
      <c r="J63" s="16">
        <f>Indented_BoM[[#This Row],[Part]]</f>
        <v>4</v>
      </c>
      <c r="K63" s="21">
        <f>_xlfn.XLOOKUP(Indented_BoM[[#This Row],[Part Number]], Catalogue_Components[Part Number], Catalogue_Components[Price Per Unit], "")</f>
        <v>17.957519999999999</v>
      </c>
      <c r="L63" s="20">
        <f>_xlfn.XLOOKUP(Indented_BoM[[#This Row],[Part Number]], Catalogue_Components[Part Number], Catalogue_Components[Print Time], "")</f>
        <v>0</v>
      </c>
      <c r="M63" s="14"/>
      <c r="N63" s="22">
        <f>Indented_BoM[[#This Row],[Part '[CHF']]]*Indented_BoM[[#This Row],[Total]]</f>
        <v>71.830079999999995</v>
      </c>
      <c r="O63" s="20">
        <f>Indented_BoM[[#This Row],[Total]]*Indented_BoM[[#This Row],[Part '[hh:mm']]]</f>
        <v>0</v>
      </c>
      <c r="P63">
        <f t="shared" si="1"/>
        <v>2</v>
      </c>
    </row>
    <row r="64" spans="1:16" outlineLevel="1" x14ac:dyDescent="0.25">
      <c r="B64" s="15" t="s">
        <v>289</v>
      </c>
      <c r="F64" s="2" t="s">
        <v>76</v>
      </c>
      <c r="G64" t="str">
        <f>_xlfn.XLOOKUP(Indented_BoM[[#This Row],[Part Number]], Catalogue_Components[Part Number], Catalogue_Components[Descriptive Name], "Component not found!")</f>
        <v>item Frame Outside Width (L = 306 mm)</v>
      </c>
      <c r="H64" t="str">
        <f>_xlfn.XLOOKUP(Indented_BoM[[#This Row],[Part Number]], Catalogue_Components[Part Number], Catalogue_Components[Manufacturer], "-")</f>
        <v>item</v>
      </c>
      <c r="I64" s="16">
        <v>4</v>
      </c>
      <c r="J64" s="16">
        <f>Indented_BoM[[#This Row],[Part]]</f>
        <v>4</v>
      </c>
      <c r="K64" s="21">
        <f>_xlfn.XLOOKUP(Indented_BoM[[#This Row],[Part Number]], Catalogue_Components[Part Number], Catalogue_Components[Price Per Unit], "")</f>
        <v>8.9207199999999993</v>
      </c>
      <c r="L64" s="20">
        <f>_xlfn.XLOOKUP(Indented_BoM[[#This Row],[Part Number]], Catalogue_Components[Part Number], Catalogue_Components[Print Time], "")</f>
        <v>0</v>
      </c>
      <c r="M64" s="14"/>
      <c r="N64" s="22">
        <f>Indented_BoM[[#This Row],[Part '[CHF']]]*Indented_BoM[[#This Row],[Total]]</f>
        <v>35.682879999999997</v>
      </c>
      <c r="O64" s="20">
        <f>Indented_BoM[[#This Row],[Total]]*Indented_BoM[[#This Row],[Part '[hh:mm']]]</f>
        <v>0</v>
      </c>
      <c r="P64">
        <f t="shared" si="1"/>
        <v>2</v>
      </c>
    </row>
    <row r="65" spans="1:16" outlineLevel="1" x14ac:dyDescent="0.25">
      <c r="B65" s="15" t="s">
        <v>289</v>
      </c>
      <c r="F65" s="2" t="s">
        <v>8</v>
      </c>
      <c r="G65" t="str">
        <f>_xlfn.XLOOKUP(Indented_BoM[[#This Row],[Part Number]], Catalogue_Components[Part Number], Catalogue_Components[Descriptive Name], "Component not found!")</f>
        <v>Cap Profil 5</v>
      </c>
      <c r="H65" t="str">
        <f>_xlfn.XLOOKUP(Indented_BoM[[#This Row],[Part Number]], Catalogue_Components[Part Number], Catalogue_Components[Manufacturer], "-")</f>
        <v>item</v>
      </c>
      <c r="I65" s="16">
        <v>8</v>
      </c>
      <c r="J65" s="16">
        <f>Indented_BoM[[#This Row],[Part]]</f>
        <v>8</v>
      </c>
      <c r="K65" s="21">
        <f>_xlfn.XLOOKUP(Indented_BoM[[#This Row],[Part Number]], Catalogue_Components[Part Number], Catalogue_Components[Price Per Unit], "")</f>
        <v>0.71</v>
      </c>
      <c r="L65" s="20">
        <f>_xlfn.XLOOKUP(Indented_BoM[[#This Row],[Part Number]], Catalogue_Components[Part Number], Catalogue_Components[Print Time], "")</f>
        <v>0</v>
      </c>
      <c r="M65" s="14"/>
      <c r="N65" s="22">
        <f>Indented_BoM[[#This Row],[Part '[CHF']]]*Indented_BoM[[#This Row],[Total]]</f>
        <v>5.68</v>
      </c>
      <c r="O65" s="20">
        <f>Indented_BoM[[#This Row],[Total]]*Indented_BoM[[#This Row],[Part '[hh:mm']]]</f>
        <v>0</v>
      </c>
      <c r="P65">
        <f t="shared" si="1"/>
        <v>2</v>
      </c>
    </row>
    <row r="66" spans="1:16" outlineLevel="1" x14ac:dyDescent="0.25">
      <c r="B66" s="15" t="s">
        <v>289</v>
      </c>
      <c r="F66" s="19" t="s">
        <v>255</v>
      </c>
      <c r="G66" t="str">
        <f>_xlfn.XLOOKUP(Indented_BoM[[#This Row],[Part Number]], Catalogue_Components[Part Number], Catalogue_Components[Descriptive Name], "Component not found!")</f>
        <v>CamSupport short</v>
      </c>
      <c r="H66" t="str">
        <f>_xlfn.XLOOKUP(Indented_BoM[[#This Row],[Part Number]], Catalogue_Components[Part Number], Catalogue_Components[Manufacturer], "-")</f>
        <v>Custom</v>
      </c>
      <c r="I66" s="16">
        <v>2</v>
      </c>
      <c r="J66" s="16">
        <f>Indented_BoM[[#This Row],[Part]]</f>
        <v>2</v>
      </c>
      <c r="K66" s="21">
        <f>_xlfn.XLOOKUP(Indented_BoM[[#This Row],[Part Number]], Catalogue_Components[Part Number], Catalogue_Components[Price Per Unit], "")</f>
        <v>0</v>
      </c>
      <c r="L66" s="20">
        <f>_xlfn.XLOOKUP(Indented_BoM[[#This Row],[Part Number]], Catalogue_Components[Part Number], Catalogue_Components[Print Time], "")</f>
        <v>1.1111111111111112E-2</v>
      </c>
      <c r="M66" s="14"/>
      <c r="N66" s="22">
        <f>Indented_BoM[[#This Row],[Total]]*Indented_BoM[[#This Row],[Part '[CHF']]]+SUM(N67:N68)</f>
        <v>8.8080000000000016</v>
      </c>
      <c r="O66" s="20">
        <f>Indented_BoM[[#This Row],[Total]]*Indented_BoM[[#This Row],[Part '[hh:mm']]]+SUM(O67:O68)</f>
        <v>2.2222222222222223E-2</v>
      </c>
      <c r="P66">
        <f t="shared" si="1"/>
        <v>2</v>
      </c>
    </row>
    <row r="67" spans="1:16" outlineLevel="1" x14ac:dyDescent="0.25">
      <c r="C67" s="15" t="s">
        <v>289</v>
      </c>
      <c r="F67" s="2" t="s">
        <v>30</v>
      </c>
      <c r="G67" t="str">
        <f>_xlfn.XLOOKUP(Indented_BoM[[#This Row],[Part Number]], Catalogue_Components[Part Number], Catalogue_Components[Descriptive Name], "Component not found!")</f>
        <v>T-slotNnut M5 Profil 5</v>
      </c>
      <c r="H67" t="str">
        <f>_xlfn.XLOOKUP(Indented_BoM[[#This Row],[Part Number]], Catalogue_Components[Part Number], Catalogue_Components[Manufacturer], "-")</f>
        <v>item</v>
      </c>
      <c r="I67" s="16">
        <v>3</v>
      </c>
      <c r="J67" s="16">
        <f>Indented_BoM[[#This Row],[Part]]</f>
        <v>3</v>
      </c>
      <c r="K67" s="21">
        <f>_xlfn.XLOOKUP(Indented_BoM[[#This Row],[Part Number]], Catalogue_Components[Part Number], Catalogue_Components[Price Per Unit], "")</f>
        <v>2.7</v>
      </c>
      <c r="L67" s="20">
        <f>_xlfn.XLOOKUP(Indented_BoM[[#This Row],[Part Number]], Catalogue_Components[Part Number], Catalogue_Components[Print Time], "")</f>
        <v>0</v>
      </c>
      <c r="M67" s="14"/>
      <c r="N67" s="22">
        <f>Indented_BoM[[#This Row],[Part '[CHF']]]*Indented_BoM[[#This Row],[Total]]</f>
        <v>8.1000000000000014</v>
      </c>
      <c r="O67" s="20">
        <f>Indented_BoM[[#This Row],[Total]]*Indented_BoM[[#This Row],[Part '[hh:mm']]]</f>
        <v>0</v>
      </c>
      <c r="P67">
        <f t="shared" ref="P67:P98" si="2">MATCH("x",A67:E67,0)</f>
        <v>3</v>
      </c>
    </row>
    <row r="68" spans="1:16" outlineLevel="1" x14ac:dyDescent="0.25">
      <c r="C68" s="15" t="s">
        <v>289</v>
      </c>
      <c r="F68" s="2" t="s">
        <v>20</v>
      </c>
      <c r="G68" t="str">
        <f>_xlfn.XLOOKUP(Indented_BoM[[#This Row],[Part Number]], Catalogue_Components[Part Number], Catalogue_Components[Descriptive Name], "Component not found!")</f>
        <v>M5x8 Screw Hex Countersunk</v>
      </c>
      <c r="H68" t="str">
        <f>_xlfn.XLOOKUP(Indented_BoM[[#This Row],[Part Number]], Catalogue_Components[Part Number], Catalogue_Components[Manufacturer], "-")</f>
        <v>Bossard</v>
      </c>
      <c r="I68" s="16">
        <v>3</v>
      </c>
      <c r="J68" s="16">
        <f>Indented_BoM[[#This Row],[Part]]</f>
        <v>3</v>
      </c>
      <c r="K68" s="21">
        <f>_xlfn.XLOOKUP(Indented_BoM[[#This Row],[Part Number]], Catalogue_Components[Part Number], Catalogue_Components[Price Per Unit], "")</f>
        <v>0.23600000000000002</v>
      </c>
      <c r="L68" s="20">
        <f>_xlfn.XLOOKUP(Indented_BoM[[#This Row],[Part Number]], Catalogue_Components[Part Number], Catalogue_Components[Print Time], "")</f>
        <v>0</v>
      </c>
      <c r="M68" s="14"/>
      <c r="N68" s="22">
        <f>Indented_BoM[[#This Row],[Part '[CHF']]]*Indented_BoM[[#This Row],[Total]]</f>
        <v>0.70800000000000007</v>
      </c>
      <c r="O68" s="20">
        <f>Indented_BoM[[#This Row],[Total]]*Indented_BoM[[#This Row],[Part '[hh:mm']]]</f>
        <v>0</v>
      </c>
      <c r="P68">
        <f t="shared" si="2"/>
        <v>3</v>
      </c>
    </row>
    <row r="69" spans="1:16" outlineLevel="1" x14ac:dyDescent="0.25">
      <c r="B69" s="15" t="s">
        <v>289</v>
      </c>
      <c r="F69" s="2" t="s">
        <v>252</v>
      </c>
      <c r="G69" t="str">
        <f>_xlfn.XLOOKUP(Indented_BoM[[#This Row],[Part Number]], Catalogue_Components[Part Number], Catalogue_Components[Descriptive Name], "Component not found!")</f>
        <v>Snap Holder</v>
      </c>
      <c r="H69" t="str">
        <f>_xlfn.XLOOKUP(Indented_BoM[[#This Row],[Part Number]], Catalogue_Components[Part Number], Catalogue_Components[Manufacturer], "-")</f>
        <v>Custom</v>
      </c>
      <c r="I69" s="16">
        <v>3</v>
      </c>
      <c r="J69" s="16">
        <f>Indented_BoM[[#This Row],[Part]]</f>
        <v>3</v>
      </c>
      <c r="K69" s="21">
        <f>_xlfn.XLOOKUP(Indented_BoM[[#This Row],[Part Number]], Catalogue_Components[Part Number], Catalogue_Components[Price Per Unit], "")</f>
        <v>0</v>
      </c>
      <c r="L69" s="20">
        <f>_xlfn.XLOOKUP(Indented_BoM[[#This Row],[Part Number]], Catalogue_Components[Part Number], Catalogue_Components[Print Time], "")</f>
        <v>2.0833333333333332E-2</v>
      </c>
      <c r="M69" s="14"/>
      <c r="N69" s="22">
        <f>Indented_BoM[[#This Row],[Total]]*Indented_BoM[[#This Row],[Part '[CHF']]]+SUM(N70:N71)</f>
        <v>2.9360000000000004</v>
      </c>
      <c r="O69" s="20">
        <f>Indented_BoM[[#This Row],[Total]]*Indented_BoM[[#This Row],[Part '[hh:mm']]]+SUM(O70:O71)</f>
        <v>6.25E-2</v>
      </c>
      <c r="P69">
        <f t="shared" si="2"/>
        <v>2</v>
      </c>
    </row>
    <row r="70" spans="1:16" outlineLevel="1" x14ac:dyDescent="0.25">
      <c r="C70" s="15" t="s">
        <v>289</v>
      </c>
      <c r="F70" s="2" t="s">
        <v>30</v>
      </c>
      <c r="G70" t="str">
        <f>_xlfn.XLOOKUP(Indented_BoM[[#This Row],[Part Number]], Catalogue_Components[Part Number], Catalogue_Components[Descriptive Name], "Component not found!")</f>
        <v>T-slotNnut M5 Profil 5</v>
      </c>
      <c r="H70" t="str">
        <f>_xlfn.XLOOKUP(Indented_BoM[[#This Row],[Part Number]], Catalogue_Components[Part Number], Catalogue_Components[Manufacturer], "-")</f>
        <v>item</v>
      </c>
      <c r="I70" s="16">
        <v>1</v>
      </c>
      <c r="J70" s="16">
        <f>Indented_BoM[[#This Row],[Part]]</f>
        <v>1</v>
      </c>
      <c r="K70" s="21">
        <f>_xlfn.XLOOKUP(Indented_BoM[[#This Row],[Part Number]], Catalogue_Components[Part Number], Catalogue_Components[Price Per Unit], "")</f>
        <v>2.7</v>
      </c>
      <c r="L70" s="20">
        <f>_xlfn.XLOOKUP(Indented_BoM[[#This Row],[Part Number]], Catalogue_Components[Part Number], Catalogue_Components[Print Time], "")</f>
        <v>0</v>
      </c>
      <c r="M70" s="14"/>
      <c r="N70" s="22">
        <f>Indented_BoM[[#This Row],[Part '[CHF']]]*Indented_BoM[[#This Row],[Total]]</f>
        <v>2.7</v>
      </c>
      <c r="O70" s="20">
        <f>Indented_BoM[[#This Row],[Total]]*Indented_BoM[[#This Row],[Part '[hh:mm']]]</f>
        <v>0</v>
      </c>
      <c r="P70">
        <f t="shared" si="2"/>
        <v>3</v>
      </c>
    </row>
    <row r="71" spans="1:16" outlineLevel="1" x14ac:dyDescent="0.25">
      <c r="C71" s="15" t="s">
        <v>289</v>
      </c>
      <c r="F71" s="2" t="s">
        <v>20</v>
      </c>
      <c r="G71" t="str">
        <f>_xlfn.XLOOKUP(Indented_BoM[[#This Row],[Part Number]], Catalogue_Components[Part Number], Catalogue_Components[Descriptive Name], "Component not found!")</f>
        <v>M5x8 Screw Hex Countersunk</v>
      </c>
      <c r="H71" t="str">
        <f>_xlfn.XLOOKUP(Indented_BoM[[#This Row],[Part Number]], Catalogue_Components[Part Number], Catalogue_Components[Manufacturer], "-")</f>
        <v>Bossard</v>
      </c>
      <c r="I71" s="16">
        <v>1</v>
      </c>
      <c r="J71" s="16">
        <f>Indented_BoM[[#This Row],[Part]]</f>
        <v>1</v>
      </c>
      <c r="K71" s="21">
        <f>_xlfn.XLOOKUP(Indented_BoM[[#This Row],[Part Number]], Catalogue_Components[Part Number], Catalogue_Components[Price Per Unit], "")</f>
        <v>0.23600000000000002</v>
      </c>
      <c r="L71" s="20">
        <f>_xlfn.XLOOKUP(Indented_BoM[[#This Row],[Part Number]], Catalogue_Components[Part Number], Catalogue_Components[Print Time], "")</f>
        <v>0</v>
      </c>
      <c r="M71" s="14"/>
      <c r="N71" s="22">
        <f>Indented_BoM[[#This Row],[Part '[CHF']]]*Indented_BoM[[#This Row],[Total]]</f>
        <v>0.23600000000000002</v>
      </c>
      <c r="O71" s="20">
        <f>Indented_BoM[[#This Row],[Total]]*Indented_BoM[[#This Row],[Part '[hh:mm']]]</f>
        <v>0</v>
      </c>
      <c r="P71">
        <f t="shared" si="2"/>
        <v>3</v>
      </c>
    </row>
    <row r="72" spans="1:16" x14ac:dyDescent="0.25">
      <c r="A72" s="15" t="s">
        <v>289</v>
      </c>
      <c r="F72" s="2" t="s">
        <v>298</v>
      </c>
      <c r="G72" t="str">
        <f>_xlfn.XLOOKUP(Indented_BoM[[#This Row],[Part Number]], Catalogue_Components[Part Number], Catalogue_Components[Descriptive Name], "Component not found!")</f>
        <v>Right Turning Vane Complete Assembly</v>
      </c>
      <c r="H72" t="str">
        <f>_xlfn.XLOOKUP(Indented_BoM[[#This Row],[Part Number]], Catalogue_Components[Part Number], Catalogue_Components[Manufacturer], "-")</f>
        <v>Custom</v>
      </c>
      <c r="I72" s="16">
        <v>1</v>
      </c>
      <c r="J72" s="16">
        <v>1</v>
      </c>
      <c r="K72" s="21">
        <f>_xlfn.XLOOKUP(Indented_BoM[[#This Row],[Part Number]], Catalogue_Components[Part Number], Catalogue_Components[Price Per Unit], "")</f>
        <v>0</v>
      </c>
      <c r="L72" s="20">
        <f>_xlfn.XLOOKUP(Indented_BoM[[#This Row],[Part Number]], Catalogue_Components[Part Number], Catalogue_Components[Print Time], "")</f>
        <v>0</v>
      </c>
      <c r="M72" s="14"/>
      <c r="N72" s="22">
        <f>Indented_BoM[[#This Row],[Part '[CHF']]]*Indented_BoM[[#This Row],[Total]]+SUMIF(P73:P113,Indented_BoM[[#This Row],[Assy-Lvl]]+1,N73:N113)</f>
        <v>21.166</v>
      </c>
      <c r="O72" s="20">
        <f>Indented_BoM[[#This Row],[Part '[hh:mm']]]*Indented_BoM[[#This Row],[Total]]+SUMIF(P73:P113,Indented_BoM[[#This Row],[Assy-Lvl]]+1,O73:O113)</f>
        <v>1.1604166666666669</v>
      </c>
      <c r="P72">
        <f t="shared" si="2"/>
        <v>1</v>
      </c>
    </row>
    <row r="73" spans="1:16" outlineLevel="1" x14ac:dyDescent="0.25">
      <c r="B73" s="15" t="s">
        <v>289</v>
      </c>
      <c r="F73" s="2" t="s">
        <v>299</v>
      </c>
      <c r="G73" t="str">
        <f>_xlfn.XLOOKUP(Indented_BoM[[#This Row],[Part Number]], Catalogue_Components[Part Number], Catalogue_Components[Descriptive Name], "Component not found!")</f>
        <v>Right Turning Vane Block Assembly</v>
      </c>
      <c r="H73" t="str">
        <f>_xlfn.XLOOKUP(Indented_BoM[[#This Row],[Part Number]], Catalogue_Components[Part Number], Catalogue_Components[Manufacturer], "-")</f>
        <v>Custom</v>
      </c>
      <c r="I73" s="16">
        <v>3</v>
      </c>
      <c r="J73" s="16">
        <f>Indented_BoM[[#This Row],[Part]]*J72</f>
        <v>3</v>
      </c>
      <c r="K73" s="21">
        <f>_xlfn.XLOOKUP(Indented_BoM[[#This Row],[Part Number]], Catalogue_Components[Part Number], Catalogue_Components[Price Per Unit], "")</f>
        <v>0</v>
      </c>
      <c r="L73" s="20">
        <f>_xlfn.XLOOKUP(Indented_BoM[[#This Row],[Part Number]], Catalogue_Components[Part Number], Catalogue_Components[Print Time], "")</f>
        <v>0</v>
      </c>
      <c r="M73" s="14"/>
      <c r="N73" s="22">
        <f>Indented_BoM[[#This Row],[Part '[CHF']]]*Indented_BoM[[#This Row],[Total]]+SUMIF(P74:P85,Indented_BoM[[#This Row],[Assy-Lvl]]+1,N74:N85)</f>
        <v>4.2</v>
      </c>
      <c r="O73" s="20">
        <f>Indented_BoM[[#This Row],[Part '[hh:mm']]]*Indented_BoM[[#This Row],[Total]]+SUMIF(P74:P110,Indented_BoM[[#This Row],[Assy-Lvl]]+1,O74:O110)</f>
        <v>1.1229166666666668</v>
      </c>
      <c r="P73">
        <f t="shared" si="2"/>
        <v>2</v>
      </c>
    </row>
    <row r="74" spans="1:16" outlineLevel="1" x14ac:dyDescent="0.25">
      <c r="C74" s="15" t="s">
        <v>289</v>
      </c>
      <c r="F74" s="2" t="s">
        <v>300</v>
      </c>
      <c r="G74" t="str">
        <f>_xlfn.XLOOKUP(Indented_BoM[[#This Row],[Part Number]], Catalogue_Components[Part Number], Catalogue_Components[Descriptive Name], "Component not found!")</f>
        <v>Turning Vanes Assembly</v>
      </c>
      <c r="H74" t="str">
        <f>_xlfn.XLOOKUP(Indented_BoM[[#This Row],[Part Number]], Catalogue_Components[Part Number], Catalogue_Components[Manufacturer], "-")</f>
        <v>Custom</v>
      </c>
      <c r="I74" s="16">
        <v>1</v>
      </c>
      <c r="J74" s="16">
        <f>Indented_BoM[[#This Row],[Part]]*J73</f>
        <v>3</v>
      </c>
      <c r="K74" s="21">
        <f>_xlfn.XLOOKUP(Indented_BoM[[#This Row],[Part Number]], Catalogue_Components[Part Number], Catalogue_Components[Price Per Unit], "")</f>
        <v>0</v>
      </c>
      <c r="L74" s="20">
        <f>_xlfn.XLOOKUP(Indented_BoM[[#This Row],[Part Number]], Catalogue_Components[Part Number], Catalogue_Components[Print Time], "")</f>
        <v>0</v>
      </c>
      <c r="M74" s="14"/>
      <c r="N74" s="22">
        <f>Indented_BoM[[#This Row],[Part '[CHF']]]*Indented_BoM[[#This Row],[Total]]+SUMIF(P75:P85,Indented_BoM[[#This Row],[Assy-Lvl]]+1,N75:N85)</f>
        <v>4.2</v>
      </c>
      <c r="O74" s="20">
        <f>Indented_BoM[[#This Row],[Part '[hh:mm']]]*Indented_BoM[[#This Row],[Total]]+SUMIF(P75:P85,Indented_BoM[[#This Row],[Assy-Lvl]]+1,O75:O85)</f>
        <v>0.65416666666666667</v>
      </c>
      <c r="P74">
        <f t="shared" si="2"/>
        <v>3</v>
      </c>
    </row>
    <row r="75" spans="1:16" outlineLevel="1" x14ac:dyDescent="0.25">
      <c r="D75" s="15" t="s">
        <v>289</v>
      </c>
      <c r="F75" s="2" t="s">
        <v>214</v>
      </c>
      <c r="G75" t="str">
        <f>_xlfn.XLOOKUP(Indented_BoM[[#This Row],[Part Number]], Catalogue_Components[Part Number], Catalogue_Components[Descriptive Name], "Component not found!")</f>
        <v>Vanes Cover Side Upper Front</v>
      </c>
      <c r="H75" t="str">
        <f>_xlfn.XLOOKUP(Indented_BoM[[#This Row],[Part Number]], Catalogue_Components[Part Number], Catalogue_Components[Manufacturer], "-")</f>
        <v>Custom</v>
      </c>
      <c r="I75" s="16">
        <v>1</v>
      </c>
      <c r="J75" s="16">
        <f>Indented_BoM[[#This Row],[Part]]*J74</f>
        <v>3</v>
      </c>
      <c r="K75" s="21">
        <f>_xlfn.XLOOKUP(Indented_BoM[[#This Row],[Part Number]], Catalogue_Components[Part Number], Catalogue_Components[Price Per Unit], "")</f>
        <v>0</v>
      </c>
      <c r="L75" s="20">
        <f>_xlfn.XLOOKUP(Indented_BoM[[#This Row],[Part Number]], Catalogue_Components[Part Number], Catalogue_Components[Print Time], "")</f>
        <v>7.2222222222222215E-2</v>
      </c>
      <c r="M75" s="14"/>
      <c r="N75" s="22">
        <f>Indented_BoM[[#This Row],[Total]]*Indented_BoM[[#This Row],[Part '[CHF']]]+SUM(N76)</f>
        <v>0.72</v>
      </c>
      <c r="O75" s="20">
        <f>IF(L75="", "", Indented_BoM[[#This Row],[Part '[hh:mm']]]*Indented_BoM[[#This Row],[Total]])</f>
        <v>0.21666666666666665</v>
      </c>
      <c r="P75">
        <f t="shared" si="2"/>
        <v>4</v>
      </c>
    </row>
    <row r="76" spans="1:16" outlineLevel="1" x14ac:dyDescent="0.25">
      <c r="E76" s="15" t="s">
        <v>289</v>
      </c>
      <c r="F76" s="2" t="s">
        <v>26</v>
      </c>
      <c r="G76" t="str">
        <f>_xlfn.XLOOKUP(Indented_BoM[[#This Row],[Part Number]], Catalogue_Components[Part Number], Catalogue_Components[Descriptive Name], "Component not found!")</f>
        <v>M3 Threaded Insert</v>
      </c>
      <c r="H76" t="str">
        <f>_xlfn.XLOOKUP(Indented_BoM[[#This Row],[Part Number]], Catalogue_Components[Part Number], Catalogue_Components[Manufacturer], "-")</f>
        <v>Bossard</v>
      </c>
      <c r="I76" s="16">
        <v>1</v>
      </c>
      <c r="J76" s="16">
        <f>Indented_BoM[[#This Row],[Part]]*J75</f>
        <v>3</v>
      </c>
      <c r="K76" s="21">
        <f>_xlfn.XLOOKUP(Indented_BoM[[#This Row],[Part Number]], Catalogue_Components[Part Number], Catalogue_Components[Price Per Unit], "")</f>
        <v>0.24</v>
      </c>
      <c r="L76" s="20">
        <f>_xlfn.XLOOKUP(Indented_BoM[[#This Row],[Part Number]], Catalogue_Components[Part Number], Catalogue_Components[Print Time], "")</f>
        <v>0</v>
      </c>
      <c r="M76" s="14"/>
      <c r="N76" s="22">
        <f>Indented_BoM[[#This Row],[Part '[CHF']]]*Indented_BoM[[#This Row],[Total]]</f>
        <v>0.72</v>
      </c>
      <c r="O76" s="20">
        <f>IF(L76="", "", Indented_BoM[[#This Row],[Part '[hh:mm']]]*Indented_BoM[[#This Row],[Total]])</f>
        <v>0</v>
      </c>
      <c r="P76">
        <f t="shared" si="2"/>
        <v>5</v>
      </c>
    </row>
    <row r="77" spans="1:16" outlineLevel="1" x14ac:dyDescent="0.25">
      <c r="D77" s="15" t="s">
        <v>289</v>
      </c>
      <c r="F77" s="2" t="s">
        <v>215</v>
      </c>
      <c r="G77" t="str">
        <f>_xlfn.XLOOKUP(Indented_BoM[[#This Row],[Part Number]], Catalogue_Components[Part Number], Catalogue_Components[Descriptive Name], "Component not found!")</f>
        <v>Vanes Cover Side Upper Rear</v>
      </c>
      <c r="H77" t="str">
        <f>_xlfn.XLOOKUP(Indented_BoM[[#This Row],[Part Number]], Catalogue_Components[Part Number], Catalogue_Components[Manufacturer], "-")</f>
        <v>Custom</v>
      </c>
      <c r="I77" s="16">
        <v>1</v>
      </c>
      <c r="J77" s="16">
        <f>Indented_BoM[[#This Row],[Part]]*J74</f>
        <v>3</v>
      </c>
      <c r="K77" s="21">
        <f>_xlfn.XLOOKUP(Indented_BoM[[#This Row],[Part Number]], Catalogue_Components[Part Number], Catalogue_Components[Price Per Unit], "")</f>
        <v>0</v>
      </c>
      <c r="L77" s="20">
        <f>_xlfn.XLOOKUP(Indented_BoM[[#This Row],[Part Number]], Catalogue_Components[Part Number], Catalogue_Components[Print Time], "")</f>
        <v>4.3055555555555555E-2</v>
      </c>
      <c r="M77" s="14"/>
      <c r="N77" s="22">
        <f>Indented_BoM[[#This Row],[Total]]*Indented_BoM[[#This Row],[Part '[CHF']]]+SUM(N78)</f>
        <v>0.72</v>
      </c>
      <c r="O77" s="20">
        <f>IF(L77="", "", Indented_BoM[[#This Row],[Part '[hh:mm']]]*Indented_BoM[[#This Row],[Total]])</f>
        <v>0.12916666666666665</v>
      </c>
      <c r="P77">
        <f t="shared" si="2"/>
        <v>4</v>
      </c>
    </row>
    <row r="78" spans="1:16" outlineLevel="1" x14ac:dyDescent="0.25">
      <c r="E78" s="15" t="s">
        <v>289</v>
      </c>
      <c r="F78" s="2" t="s">
        <v>26</v>
      </c>
      <c r="G78" t="str">
        <f>_xlfn.XLOOKUP(Indented_BoM[[#This Row],[Part Number]], Catalogue_Components[Part Number], Catalogue_Components[Descriptive Name], "Component not found!")</f>
        <v>M3 Threaded Insert</v>
      </c>
      <c r="H78" t="str">
        <f>_xlfn.XLOOKUP(Indented_BoM[[#This Row],[Part Number]], Catalogue_Components[Part Number], Catalogue_Components[Manufacturer], "-")</f>
        <v>Bossard</v>
      </c>
      <c r="I78" s="16">
        <v>1</v>
      </c>
      <c r="J78" s="16">
        <f>Indented_BoM[[#This Row],[Part]]*J77</f>
        <v>3</v>
      </c>
      <c r="K78" s="21">
        <f>_xlfn.XLOOKUP(Indented_BoM[[#This Row],[Part Number]], Catalogue_Components[Part Number], Catalogue_Components[Price Per Unit], "")</f>
        <v>0.24</v>
      </c>
      <c r="L78" s="20">
        <f>_xlfn.XLOOKUP(Indented_BoM[[#This Row],[Part Number]], Catalogue_Components[Part Number], Catalogue_Components[Print Time], "")</f>
        <v>0</v>
      </c>
      <c r="M78" s="14"/>
      <c r="N78" s="22">
        <f>Indented_BoM[[#This Row],[Part '[CHF']]]*Indented_BoM[[#This Row],[Total]]</f>
        <v>0.72</v>
      </c>
      <c r="O78" s="20">
        <f>IF(L78="", "", Indented_BoM[[#This Row],[Part '[hh:mm']]]*Indented_BoM[[#This Row],[Total]])</f>
        <v>0</v>
      </c>
      <c r="P78">
        <f t="shared" si="2"/>
        <v>5</v>
      </c>
    </row>
    <row r="79" spans="1:16" outlineLevel="1" x14ac:dyDescent="0.25">
      <c r="D79" s="15" t="s">
        <v>289</v>
      </c>
      <c r="F79" s="2" t="s">
        <v>216</v>
      </c>
      <c r="G79" t="str">
        <f>_xlfn.XLOOKUP(Indented_BoM[[#This Row],[Part Number]], Catalogue_Components[Part Number], Catalogue_Components[Descriptive Name], "Component not found!")</f>
        <v>Vanes Cover Side Lower Front</v>
      </c>
      <c r="H79" t="str">
        <f>_xlfn.XLOOKUP(Indented_BoM[[#This Row],[Part Number]], Catalogue_Components[Part Number], Catalogue_Components[Manufacturer], "-")</f>
        <v>Custom</v>
      </c>
      <c r="I79" s="16">
        <v>1</v>
      </c>
      <c r="J79" s="16">
        <f>Indented_BoM[[#This Row],[Part]]*J74</f>
        <v>3</v>
      </c>
      <c r="K79" s="21">
        <f>_xlfn.XLOOKUP(Indented_BoM[[#This Row],[Part Number]], Catalogue_Components[Part Number], Catalogue_Components[Price Per Unit], "")</f>
        <v>0</v>
      </c>
      <c r="L79" s="20">
        <f>_xlfn.XLOOKUP(Indented_BoM[[#This Row],[Part Number]], Catalogue_Components[Part Number], Catalogue_Components[Print Time], "")</f>
        <v>6.1111111111111109E-2</v>
      </c>
      <c r="M79" s="14"/>
      <c r="N79" s="22">
        <f>Indented_BoM[[#This Row],[Total]]*Indented_BoM[[#This Row],[Part '[CHF']]]+SUM(N80)</f>
        <v>0.72</v>
      </c>
      <c r="O79" s="20">
        <f>IF(L79="", "", Indented_BoM[[#This Row],[Part '[hh:mm']]]*Indented_BoM[[#This Row],[Total]])</f>
        <v>0.18333333333333332</v>
      </c>
      <c r="P79">
        <f t="shared" si="2"/>
        <v>4</v>
      </c>
    </row>
    <row r="80" spans="1:16" outlineLevel="1" x14ac:dyDescent="0.25">
      <c r="E80" s="15" t="s">
        <v>289</v>
      </c>
      <c r="F80" s="2" t="s">
        <v>26</v>
      </c>
      <c r="G80" t="str">
        <f>_xlfn.XLOOKUP(Indented_BoM[[#This Row],[Part Number]], Catalogue_Components[Part Number], Catalogue_Components[Descriptive Name], "Component not found!")</f>
        <v>M3 Threaded Insert</v>
      </c>
      <c r="H80" t="str">
        <f>_xlfn.XLOOKUP(Indented_BoM[[#This Row],[Part Number]], Catalogue_Components[Part Number], Catalogue_Components[Manufacturer], "-")</f>
        <v>Bossard</v>
      </c>
      <c r="I80" s="16">
        <v>1</v>
      </c>
      <c r="J80" s="16">
        <f>Indented_BoM[[#This Row],[Part]]*J79</f>
        <v>3</v>
      </c>
      <c r="K80" s="21">
        <f>_xlfn.XLOOKUP(Indented_BoM[[#This Row],[Part Number]], Catalogue_Components[Part Number], Catalogue_Components[Price Per Unit], "")</f>
        <v>0.24</v>
      </c>
      <c r="L80" s="20">
        <f>_xlfn.XLOOKUP(Indented_BoM[[#This Row],[Part Number]], Catalogue_Components[Part Number], Catalogue_Components[Print Time], "")</f>
        <v>0</v>
      </c>
      <c r="M80" s="14"/>
      <c r="N80" s="22">
        <f>Indented_BoM[[#This Row],[Part '[CHF']]]*Indented_BoM[[#This Row],[Total]]</f>
        <v>0.72</v>
      </c>
      <c r="O80" s="20">
        <f>IF(L80="", "", Indented_BoM[[#This Row],[Part '[hh:mm']]]*Indented_BoM[[#This Row],[Total]])</f>
        <v>0</v>
      </c>
      <c r="P80">
        <f t="shared" si="2"/>
        <v>5</v>
      </c>
    </row>
    <row r="81" spans="3:16" outlineLevel="1" x14ac:dyDescent="0.25">
      <c r="D81" s="15" t="s">
        <v>289</v>
      </c>
      <c r="F81" s="2" t="s">
        <v>217</v>
      </c>
      <c r="G81" t="str">
        <f>_xlfn.XLOOKUP(Indented_BoM[[#This Row],[Part Number]], Catalogue_Components[Part Number], Catalogue_Components[Descriptive Name], "Component not found!")</f>
        <v>Vanes Cover Side Lower Rear</v>
      </c>
      <c r="H81" t="str">
        <f>_xlfn.XLOOKUP(Indented_BoM[[#This Row],[Part Number]], Catalogue_Components[Part Number], Catalogue_Components[Manufacturer], "-")</f>
        <v>Custom</v>
      </c>
      <c r="I81" s="16">
        <v>1</v>
      </c>
      <c r="J81" s="16">
        <f>Indented_BoM[[#This Row],[Part]]*$J$74</f>
        <v>3</v>
      </c>
      <c r="K81" s="21">
        <f>_xlfn.XLOOKUP(Indented_BoM[[#This Row],[Part Number]], Catalogue_Components[Part Number], Catalogue_Components[Price Per Unit], "")</f>
        <v>0</v>
      </c>
      <c r="L81" s="20">
        <f>_xlfn.XLOOKUP(Indented_BoM[[#This Row],[Part Number]], Catalogue_Components[Part Number], Catalogue_Components[Print Time], "")</f>
        <v>2.8472222222222222E-2</v>
      </c>
      <c r="M81" s="14"/>
      <c r="N81" s="22">
        <f>Indented_BoM[[#This Row],[Total]]*Indented_BoM[[#This Row],[Part '[CHF']]]+SUM(N82)</f>
        <v>0.72</v>
      </c>
      <c r="O81" s="20">
        <f>IF(L81="", "", Indented_BoM[[#This Row],[Part '[hh:mm']]]*Indented_BoM[[#This Row],[Total]])</f>
        <v>8.5416666666666669E-2</v>
      </c>
      <c r="P81">
        <f t="shared" si="2"/>
        <v>4</v>
      </c>
    </row>
    <row r="82" spans="3:16" outlineLevel="1" x14ac:dyDescent="0.25">
      <c r="E82" s="15" t="s">
        <v>289</v>
      </c>
      <c r="F82" s="2" t="s">
        <v>26</v>
      </c>
      <c r="G82" t="str">
        <f>_xlfn.XLOOKUP(Indented_BoM[[#This Row],[Part Number]], Catalogue_Components[Part Number], Catalogue_Components[Descriptive Name], "Component not found!")</f>
        <v>M3 Threaded Insert</v>
      </c>
      <c r="H82" t="str">
        <f>_xlfn.XLOOKUP(Indented_BoM[[#This Row],[Part Number]], Catalogue_Components[Part Number], Catalogue_Components[Manufacturer], "-")</f>
        <v>Bossard</v>
      </c>
      <c r="I82" s="16">
        <v>1</v>
      </c>
      <c r="J82" s="16">
        <f>Indented_BoM[[#This Row],[Part]]*J81</f>
        <v>3</v>
      </c>
      <c r="K82" s="21">
        <f>_xlfn.XLOOKUP(Indented_BoM[[#This Row],[Part Number]], Catalogue_Components[Part Number], Catalogue_Components[Price Per Unit], "")</f>
        <v>0.24</v>
      </c>
      <c r="L82" s="20">
        <f>_xlfn.XLOOKUP(Indented_BoM[[#This Row],[Part Number]], Catalogue_Components[Part Number], Catalogue_Components[Print Time], "")</f>
        <v>0</v>
      </c>
      <c r="M82" s="14"/>
      <c r="N82" s="22">
        <f>Indented_BoM[[#This Row],[Part '[CHF']]]*Indented_BoM[[#This Row],[Total]]</f>
        <v>0.72</v>
      </c>
      <c r="O82" s="20">
        <f>IF(L82="", "", Indented_BoM[[#This Row],[Part '[hh:mm']]]*Indented_BoM[[#This Row],[Total]])</f>
        <v>0</v>
      </c>
      <c r="P82">
        <f t="shared" si="2"/>
        <v>5</v>
      </c>
    </row>
    <row r="83" spans="3:16" outlineLevel="1" x14ac:dyDescent="0.25">
      <c r="D83" s="15" t="s">
        <v>289</v>
      </c>
      <c r="F83" s="2" t="s">
        <v>218</v>
      </c>
      <c r="G83" t="str">
        <f>_xlfn.XLOOKUP(Indented_BoM[[#This Row],[Part Number]], Catalogue_Components[Part Number], Catalogue_Components[Descriptive Name], "Component not found!")</f>
        <v>Vanes Cover Front</v>
      </c>
      <c r="H83" t="str">
        <f>_xlfn.XLOOKUP(Indented_BoM[[#This Row],[Part Number]], Catalogue_Components[Part Number], Catalogue_Components[Manufacturer], "-")</f>
        <v>Custom</v>
      </c>
      <c r="I83" s="16">
        <v>1</v>
      </c>
      <c r="J83" s="16">
        <f>Indented_BoM[[#This Row],[Part]]*$J$74</f>
        <v>3</v>
      </c>
      <c r="K83" s="21">
        <f>_xlfn.XLOOKUP(Indented_BoM[[#This Row],[Part Number]], Catalogue_Components[Part Number], Catalogue_Components[Price Per Unit], "")</f>
        <v>0</v>
      </c>
      <c r="L83" s="20">
        <f>_xlfn.XLOOKUP(Indented_BoM[[#This Row],[Part Number]], Catalogue_Components[Part Number], Catalogue_Components[Print Time], "")</f>
        <v>1.3194444444444444E-2</v>
      </c>
      <c r="M83" s="14"/>
      <c r="N83" s="22">
        <f>Indented_BoM[[#This Row],[Part '[CHF']]]*Indented_BoM[[#This Row],[Total]]</f>
        <v>0</v>
      </c>
      <c r="O83" s="20">
        <f>IF(L83="", "", Indented_BoM[[#This Row],[Part '[hh:mm']]]*Indented_BoM[[#This Row],[Total]])</f>
        <v>3.9583333333333331E-2</v>
      </c>
      <c r="P83">
        <f t="shared" si="2"/>
        <v>4</v>
      </c>
    </row>
    <row r="84" spans="3:16" outlineLevel="1" x14ac:dyDescent="0.25">
      <c r="D84" s="15" t="s">
        <v>289</v>
      </c>
      <c r="F84" s="2" t="s">
        <v>16</v>
      </c>
      <c r="G84" t="str">
        <f>_xlfn.XLOOKUP(Indented_BoM[[#This Row],[Part Number]], Catalogue_Components[Part Number], Catalogue_Components[Descriptive Name], "Component not found!")</f>
        <v>M3x8 Screw Hex Socket</v>
      </c>
      <c r="H84" t="str">
        <f>_xlfn.XLOOKUP(Indented_BoM[[#This Row],[Part Number]], Catalogue_Components[Part Number], Catalogue_Components[Manufacturer], "-")</f>
        <v>Bossard</v>
      </c>
      <c r="I84" s="16">
        <v>2</v>
      </c>
      <c r="J84" s="16">
        <f>Indented_BoM[[#This Row],[Part]]*$J$74</f>
        <v>6</v>
      </c>
      <c r="K84" s="21">
        <f>_xlfn.XLOOKUP(Indented_BoM[[#This Row],[Part Number]], Catalogue_Components[Part Number], Catalogue_Components[Price Per Unit], "")</f>
        <v>0.188</v>
      </c>
      <c r="L84" s="20">
        <f>_xlfn.XLOOKUP(Indented_BoM[[#This Row],[Part Number]], Catalogue_Components[Part Number], Catalogue_Components[Print Time], "")</f>
        <v>0</v>
      </c>
      <c r="M84" s="14"/>
      <c r="N84" s="22">
        <f>Indented_BoM[[#This Row],[Part '[CHF']]]*Indented_BoM[[#This Row],[Total]]</f>
        <v>1.1280000000000001</v>
      </c>
      <c r="O84" s="20">
        <f>IF(L84="", "", Indented_BoM[[#This Row],[Part '[hh:mm']]]*Indented_BoM[[#This Row],[Total]])</f>
        <v>0</v>
      </c>
      <c r="P84">
        <f t="shared" si="2"/>
        <v>4</v>
      </c>
    </row>
    <row r="85" spans="3:16" outlineLevel="1" x14ac:dyDescent="0.25">
      <c r="D85" s="15" t="s">
        <v>289</v>
      </c>
      <c r="F85" s="2" t="s">
        <v>24</v>
      </c>
      <c r="G85" t="str">
        <f>_xlfn.XLOOKUP(Indented_BoM[[#This Row],[Part Number]], Catalogue_Components[Part Number], Catalogue_Components[Descriptive Name], "Component not found!")</f>
        <v>Flat Washer M3</v>
      </c>
      <c r="H85" t="str">
        <f>_xlfn.XLOOKUP(Indented_BoM[[#This Row],[Part Number]], Catalogue_Components[Part Number], Catalogue_Components[Manufacturer], "-")</f>
        <v>Bossard</v>
      </c>
      <c r="I85" s="16">
        <v>2</v>
      </c>
      <c r="J85" s="16">
        <f>Indented_BoM[[#This Row],[Part]]*$J$74</f>
        <v>6</v>
      </c>
      <c r="K85" s="21">
        <f>_xlfn.XLOOKUP(Indented_BoM[[#This Row],[Part Number]], Catalogue_Components[Part Number], Catalogue_Components[Price Per Unit], "")</f>
        <v>3.2000000000000001E-2</v>
      </c>
      <c r="L85" s="20">
        <f>_xlfn.XLOOKUP(Indented_BoM[[#This Row],[Part Number]], Catalogue_Components[Part Number], Catalogue_Components[Print Time], "")</f>
        <v>0</v>
      </c>
      <c r="M85" s="14"/>
      <c r="N85" s="22">
        <f>Indented_BoM[[#This Row],[Part '[CHF']]]*Indented_BoM[[#This Row],[Total]]</f>
        <v>0.192</v>
      </c>
      <c r="O85" s="20">
        <f>IF(L85="", "", Indented_BoM[[#This Row],[Part '[hh:mm']]]*Indented_BoM[[#This Row],[Total]])</f>
        <v>0</v>
      </c>
      <c r="P85">
        <f t="shared" si="2"/>
        <v>4</v>
      </c>
    </row>
    <row r="86" spans="3:16" outlineLevel="1" x14ac:dyDescent="0.25">
      <c r="C86" s="15" t="s">
        <v>289</v>
      </c>
      <c r="F86" s="2" t="s">
        <v>302</v>
      </c>
      <c r="G86" t="str">
        <f>_xlfn.XLOOKUP(Indented_BoM[[#This Row],[Part Number]], Catalogue_Components[Part Number], Catalogue_Components[Descriptive Name], "Component not found!")</f>
        <v>MagCoupling Assembly</v>
      </c>
      <c r="H86" t="str">
        <f>_xlfn.XLOOKUP(Indented_BoM[[#This Row],[Part Number]], Catalogue_Components[Part Number], Catalogue_Components[Manufacturer], "-")</f>
        <v>Custom</v>
      </c>
      <c r="I86" s="16">
        <v>1</v>
      </c>
      <c r="J86" s="16">
        <f>Indented_BoM[[#This Row],[Part]]*$J$73</f>
        <v>3</v>
      </c>
      <c r="K86" s="21">
        <f>_xlfn.XLOOKUP(Indented_BoM[[#This Row],[Part Number]], Catalogue_Components[Part Number], Catalogue_Components[Price Per Unit], "")</f>
        <v>0</v>
      </c>
      <c r="L86" s="20">
        <f>_xlfn.XLOOKUP(Indented_BoM[[#This Row],[Part Number]], Catalogue_Components[Part Number], Catalogue_Components[Print Time], "")</f>
        <v>0</v>
      </c>
      <c r="M86" s="14"/>
      <c r="N86" s="22">
        <f>Indented_BoM[[#This Row],[Part '[CHF']]]*Indented_BoM[[#This Row],[Total]]+SUMIF(P87:P99,Indented_BoM[[#This Row],[Assy-Lvl]]+1,N87:N99)</f>
        <v>73.072499999999991</v>
      </c>
      <c r="O86" s="20">
        <f>Indented_BoM[[#This Row],[Part '[hh:mm']]]*Indented_BoM[[#This Row],[Total]]+SUMIF(P87:P99,Indented_BoM[[#This Row],[Assy-Lvl]]+1,O87:O99)</f>
        <v>0.14166666666666666</v>
      </c>
      <c r="P86">
        <f t="shared" si="2"/>
        <v>3</v>
      </c>
    </row>
    <row r="87" spans="3:16" outlineLevel="1" x14ac:dyDescent="0.25">
      <c r="D87" s="15" t="s">
        <v>289</v>
      </c>
      <c r="F87" s="2" t="s">
        <v>220</v>
      </c>
      <c r="G87" t="str">
        <f>_xlfn.XLOOKUP(Indented_BoM[[#This Row],[Part Number]], Catalogue_Components[Part Number], Catalogue_Components[Descriptive Name], "Component not found!")</f>
        <v>MagCoupling Magnet Holder</v>
      </c>
      <c r="H87" t="str">
        <f>_xlfn.XLOOKUP(Indented_BoM[[#This Row],[Part Number]], Catalogue_Components[Part Number], Catalogue_Components[Manufacturer], "-")</f>
        <v>Custom</v>
      </c>
      <c r="I87" s="16">
        <v>1</v>
      </c>
      <c r="J87" s="16">
        <f>Indented_BoM[[#This Row],[Part]]*$J$86</f>
        <v>3</v>
      </c>
      <c r="K87" s="21">
        <f>_xlfn.XLOOKUP(Indented_BoM[[#This Row],[Part Number]], Catalogue_Components[Part Number], Catalogue_Components[Price Per Unit], "")</f>
        <v>0</v>
      </c>
      <c r="L87" s="20">
        <f>_xlfn.XLOOKUP(Indented_BoM[[#This Row],[Part Number]], Catalogue_Components[Part Number], Catalogue_Components[Print Time], "")</f>
        <v>1.4583333333333334E-2</v>
      </c>
      <c r="M87" s="14"/>
      <c r="N87" s="22">
        <f>Indented_BoM[[#This Row],[Total]]*Indented_BoM[[#This Row],[Part '[CHF']]]+SUM(N88:N90)</f>
        <v>49.44</v>
      </c>
      <c r="O87" s="20">
        <f>IF(L87="", "", Indented_BoM[[#This Row],[Part '[hh:mm']]]*Indented_BoM[[#This Row],[Total]])</f>
        <v>4.3749999999999997E-2</v>
      </c>
      <c r="P87">
        <f t="shared" si="2"/>
        <v>4</v>
      </c>
    </row>
    <row r="88" spans="3:16" outlineLevel="1" x14ac:dyDescent="0.25">
      <c r="E88" s="15" t="s">
        <v>289</v>
      </c>
      <c r="F88" s="2" t="s">
        <v>11</v>
      </c>
      <c r="G88" t="str">
        <f>_xlfn.XLOOKUP(Indented_BoM[[#This Row],[Part Number]], Catalogue_Components[Part Number], Catalogue_Components[Descriptive Name], "Component not found!")</f>
        <v>Ball Bearing Axial</v>
      </c>
      <c r="H88" t="str">
        <f>_xlfn.XLOOKUP(Indented_BoM[[#This Row],[Part Number]], Catalogue_Components[Part Number], Catalogue_Components[Manufacturer], "-")</f>
        <v>igus</v>
      </c>
      <c r="I88" s="16">
        <v>1</v>
      </c>
      <c r="J88" s="16">
        <f>Indented_BoM[[#This Row],[Part]]*$J$87</f>
        <v>3</v>
      </c>
      <c r="K88" s="21">
        <f>_xlfn.XLOOKUP(Indented_BoM[[#This Row],[Part Number]], Catalogue_Components[Part Number], Catalogue_Components[Price Per Unit], "")</f>
        <v>3</v>
      </c>
      <c r="L88" s="20">
        <f>_xlfn.XLOOKUP(Indented_BoM[[#This Row],[Part Number]], Catalogue_Components[Part Number], Catalogue_Components[Print Time], "")</f>
        <v>0</v>
      </c>
      <c r="M88" s="14"/>
      <c r="N88" s="22">
        <f>Indented_BoM[[#This Row],[Part '[CHF']]]*Indented_BoM[[#This Row],[Total]]</f>
        <v>9</v>
      </c>
      <c r="O88" s="20">
        <f>IF(L88="", "", Indented_BoM[[#This Row],[Part '[hh:mm']]]*Indented_BoM[[#This Row],[Total]])</f>
        <v>0</v>
      </c>
      <c r="P88">
        <f t="shared" si="2"/>
        <v>5</v>
      </c>
    </row>
    <row r="89" spans="3:16" outlineLevel="1" x14ac:dyDescent="0.25">
      <c r="E89" s="15" t="s">
        <v>289</v>
      </c>
      <c r="F89" s="2" t="s">
        <v>32</v>
      </c>
      <c r="G89" t="str">
        <f>_xlfn.XLOOKUP(Indented_BoM[[#This Row],[Part Number]], Catalogue_Components[Part Number], Catalogue_Components[Descriptive Name], "Component not found!")</f>
        <v>Thrust Washer</v>
      </c>
      <c r="H89" t="str">
        <f>_xlfn.XLOOKUP(Indented_BoM[[#This Row],[Part Number]], Catalogue_Components[Part Number], Catalogue_Components[Manufacturer], "-")</f>
        <v>igus</v>
      </c>
      <c r="I89" s="16">
        <v>1</v>
      </c>
      <c r="J89" s="16">
        <f>Indented_BoM[[#This Row],[Part]]*$J$87</f>
        <v>3</v>
      </c>
      <c r="K89" s="21">
        <f>_xlfn.XLOOKUP(Indented_BoM[[#This Row],[Part Number]], Catalogue_Components[Part Number], Catalogue_Components[Price Per Unit], "")</f>
        <v>6.58</v>
      </c>
      <c r="L89" s="20">
        <f>_xlfn.XLOOKUP(Indented_BoM[[#This Row],[Part Number]], Catalogue_Components[Part Number], Catalogue_Components[Print Time], "")</f>
        <v>0</v>
      </c>
      <c r="M89" s="14"/>
      <c r="N89" s="22">
        <f>Indented_BoM[[#This Row],[Part '[CHF']]]*Indented_BoM[[#This Row],[Total]]</f>
        <v>19.740000000000002</v>
      </c>
      <c r="O89" s="20">
        <f>IF(L89="", "", Indented_BoM[[#This Row],[Part '[hh:mm']]]*Indented_BoM[[#This Row],[Total]])</f>
        <v>0</v>
      </c>
      <c r="P89">
        <f t="shared" si="2"/>
        <v>5</v>
      </c>
    </row>
    <row r="90" spans="3:16" outlineLevel="1" x14ac:dyDescent="0.25">
      <c r="E90" s="15" t="s">
        <v>289</v>
      </c>
      <c r="F90" s="2" t="s">
        <v>28</v>
      </c>
      <c r="G90" t="str">
        <f>_xlfn.XLOOKUP(Indented_BoM[[#This Row],[Part Number]], Catalogue_Components[Part Number], Catalogue_Components[Descriptive Name], "Component not found!")</f>
        <v>Magnet Cylinder</v>
      </c>
      <c r="H90" t="str">
        <f>_xlfn.XLOOKUP(Indented_BoM[[#This Row],[Part Number]], Catalogue_Components[Part Number], Catalogue_Components[Manufacturer], "-")</f>
        <v>supermagnete</v>
      </c>
      <c r="I90" s="16">
        <v>10</v>
      </c>
      <c r="J90" s="16">
        <f>Indented_BoM[[#This Row],[Part]]*$J$87</f>
        <v>30</v>
      </c>
      <c r="K90" s="21">
        <f>_xlfn.XLOOKUP(Indented_BoM[[#This Row],[Part Number]], Catalogue_Components[Part Number], Catalogue_Components[Price Per Unit], "")</f>
        <v>0.69</v>
      </c>
      <c r="L90" s="20">
        <f>_xlfn.XLOOKUP(Indented_BoM[[#This Row],[Part Number]], Catalogue_Components[Part Number], Catalogue_Components[Print Time], "")</f>
        <v>0</v>
      </c>
      <c r="M90" s="14"/>
      <c r="N90" s="22">
        <f>Indented_BoM[[#This Row],[Part '[CHF']]]*Indented_BoM[[#This Row],[Total]]</f>
        <v>20.7</v>
      </c>
      <c r="O90" s="20">
        <f>IF(L90="", "", Indented_BoM[[#This Row],[Part '[hh:mm']]]*Indented_BoM[[#This Row],[Total]])</f>
        <v>0</v>
      </c>
      <c r="P90">
        <f t="shared" si="2"/>
        <v>5</v>
      </c>
    </row>
    <row r="91" spans="3:16" outlineLevel="1" x14ac:dyDescent="0.25">
      <c r="D91" s="15" t="s">
        <v>289</v>
      </c>
      <c r="F91" s="2" t="s">
        <v>221</v>
      </c>
      <c r="G91" t="str">
        <f>_xlfn.XLOOKUP(Indented_BoM[[#This Row],[Part Number]], Catalogue_Components[Part Number], Catalogue_Components[Descriptive Name], "Component not found!")</f>
        <v>MagCoupling Cover</v>
      </c>
      <c r="H91" t="str">
        <f>_xlfn.XLOOKUP(Indented_BoM[[#This Row],[Part Number]], Catalogue_Components[Part Number], Catalogue_Components[Manufacturer], "-")</f>
        <v>Custom</v>
      </c>
      <c r="I91" s="16">
        <v>1</v>
      </c>
      <c r="J91" s="16">
        <f>Indented_BoM[[#This Row],[Part]]*$J$86</f>
        <v>3</v>
      </c>
      <c r="K91" s="21">
        <f>_xlfn.XLOOKUP(Indented_BoM[[#This Row],[Part Number]], Catalogue_Components[Part Number], Catalogue_Components[Price Per Unit], "")</f>
        <v>0</v>
      </c>
      <c r="L91" s="20">
        <f>_xlfn.XLOOKUP(Indented_BoM[[#This Row],[Part Number]], Catalogue_Components[Part Number], Catalogue_Components[Print Time], "")</f>
        <v>2.7777777777777776E-2</v>
      </c>
      <c r="M91" s="14"/>
      <c r="N91" s="22">
        <f>Indented_BoM[[#This Row],[Total]]*Indented_BoM[[#This Row],[Part '[CHF']]]+SUM(N92)</f>
        <v>9.66</v>
      </c>
      <c r="O91" s="20">
        <f>IF(L91="", "", Indented_BoM[[#This Row],[Part '[hh:mm']]]*Indented_BoM[[#This Row],[Total]])</f>
        <v>8.3333333333333329E-2</v>
      </c>
      <c r="P91">
        <f t="shared" si="2"/>
        <v>4</v>
      </c>
    </row>
    <row r="92" spans="3:16" outlineLevel="1" x14ac:dyDescent="0.25">
      <c r="E92" s="15" t="s">
        <v>289</v>
      </c>
      <c r="F92" s="2" t="s">
        <v>13</v>
      </c>
      <c r="G92" t="str">
        <f>_xlfn.XLOOKUP(Indented_BoM[[#This Row],[Part Number]], Catalogue_Components[Part Number], Catalogue_Components[Descriptive Name], "Component not found!")</f>
        <v>Ball Bearing</v>
      </c>
      <c r="H92" t="str">
        <f>_xlfn.XLOOKUP(Indented_BoM[[#This Row],[Part Number]], Catalogue_Components[Part Number], Catalogue_Components[Manufacturer], "-")</f>
        <v>igus</v>
      </c>
      <c r="I92" s="16">
        <v>1</v>
      </c>
      <c r="J92" s="16">
        <f>Indented_BoM[[#This Row],[Part]]*J91</f>
        <v>3</v>
      </c>
      <c r="K92" s="21">
        <f>_xlfn.XLOOKUP(Indented_BoM[[#This Row],[Part Number]], Catalogue_Components[Part Number], Catalogue_Components[Price Per Unit], "")</f>
        <v>3.22</v>
      </c>
      <c r="L92" s="20">
        <f>_xlfn.XLOOKUP(Indented_BoM[[#This Row],[Part Number]], Catalogue_Components[Part Number], Catalogue_Components[Print Time], "")</f>
        <v>0</v>
      </c>
      <c r="M92" s="14"/>
      <c r="N92" s="22">
        <f>Indented_BoM[[#This Row],[Part '[CHF']]]*Indented_BoM[[#This Row],[Total]]</f>
        <v>9.66</v>
      </c>
      <c r="O92" s="20">
        <f>IF(L92="", "", Indented_BoM[[#This Row],[Part '[hh:mm']]]*Indented_BoM[[#This Row],[Total]])</f>
        <v>0</v>
      </c>
      <c r="P92">
        <f t="shared" si="2"/>
        <v>5</v>
      </c>
    </row>
    <row r="93" spans="3:16" outlineLevel="1" x14ac:dyDescent="0.25">
      <c r="D93" s="15" t="s">
        <v>289</v>
      </c>
      <c r="F93" s="19" t="s">
        <v>222</v>
      </c>
      <c r="G93" t="str">
        <f>_xlfn.XLOOKUP(Indented_BoM[[#This Row],[Part Number]], Catalogue_Components[Part Number], Catalogue_Components[Descriptive Name], "Component not found!")</f>
        <v>MagCoupling Axle</v>
      </c>
      <c r="H93" t="str">
        <f>_xlfn.XLOOKUP(Indented_BoM[[#This Row],[Part Number]], Catalogue_Components[Part Number], Catalogue_Components[Manufacturer], "-")</f>
        <v>Custom</v>
      </c>
      <c r="I93" s="16">
        <v>1</v>
      </c>
      <c r="J93" s="16">
        <f>Indented_BoM[[#This Row],[Part]]*$J$86</f>
        <v>3</v>
      </c>
      <c r="K93" s="21">
        <f>_xlfn.XLOOKUP(Indented_BoM[[#This Row],[Part Number]], Catalogue_Components[Part Number], Catalogue_Components[Price Per Unit], "")</f>
        <v>0</v>
      </c>
      <c r="L93" s="20">
        <f>_xlfn.XLOOKUP(Indented_BoM[[#This Row],[Part Number]], Catalogue_Components[Part Number], Catalogue_Components[Print Time], "")</f>
        <v>0</v>
      </c>
      <c r="M93" s="14"/>
      <c r="N93" s="22">
        <f>Indented_BoM[[#This Row],[Part '[CHF']]]*Indented_BoM[[#This Row],[Total]]</f>
        <v>0</v>
      </c>
      <c r="O93" s="20">
        <f>IF(L93="", "", Indented_BoM[[#This Row],[Part '[hh:mm']]]*Indented_BoM[[#This Row],[Total]])</f>
        <v>0</v>
      </c>
      <c r="P93">
        <f t="shared" si="2"/>
        <v>4</v>
      </c>
    </row>
    <row r="94" spans="3:16" outlineLevel="1" x14ac:dyDescent="0.25">
      <c r="D94" s="15" t="s">
        <v>289</v>
      </c>
      <c r="F94" s="2" t="s">
        <v>303</v>
      </c>
      <c r="G94" t="str">
        <f>_xlfn.XLOOKUP(Indented_BoM[[#This Row],[Part Number]], Catalogue_Components[Part Number], Catalogue_Components[Descriptive Name], "Component not found!")</f>
        <v>MagCoupling Propeller Tip</v>
      </c>
      <c r="H94" t="str">
        <f>_xlfn.XLOOKUP(Indented_BoM[[#This Row],[Part Number]], Catalogue_Components[Part Number], Catalogue_Components[Manufacturer], "-")</f>
        <v>Custom</v>
      </c>
      <c r="I94" s="16">
        <v>1</v>
      </c>
      <c r="J94" s="16">
        <f>Indented_BoM[[#This Row],[Part]]*$J$86</f>
        <v>3</v>
      </c>
      <c r="K94" s="21">
        <f>_xlfn.XLOOKUP(Indented_BoM[[#This Row],[Part Number]], Catalogue_Components[Part Number], Catalogue_Components[Price Per Unit], "")</f>
        <v>0</v>
      </c>
      <c r="L94" s="20">
        <f>_xlfn.XLOOKUP(Indented_BoM[[#This Row],[Part Number]], Catalogue_Components[Part Number], Catalogue_Components[Print Time], "")</f>
        <v>4.8611111111111112E-3</v>
      </c>
      <c r="M94" s="14"/>
      <c r="N94" s="22">
        <f>Indented_BoM[[#This Row],[Total]]*Indented_BoM[[#This Row],[Part '[CHF']]]+SUM(N95)</f>
        <v>0.72</v>
      </c>
      <c r="O94" s="20">
        <f>IF(L94="", "", Indented_BoM[[#This Row],[Part '[hh:mm']]]*Indented_BoM[[#This Row],[Total]])</f>
        <v>1.4583333333333334E-2</v>
      </c>
      <c r="P94">
        <f t="shared" si="2"/>
        <v>4</v>
      </c>
    </row>
    <row r="95" spans="3:16" outlineLevel="1" x14ac:dyDescent="0.25">
      <c r="E95" s="15" t="s">
        <v>289</v>
      </c>
      <c r="F95" s="2" t="s">
        <v>26</v>
      </c>
      <c r="G95" t="str">
        <f>_xlfn.XLOOKUP(Indented_BoM[[#This Row],[Part Number]], Catalogue_Components[Part Number], Catalogue_Components[Descriptive Name], "Component not found!")</f>
        <v>M3 Threaded Insert</v>
      </c>
      <c r="H95" t="str">
        <f>_xlfn.XLOOKUP(Indented_BoM[[#This Row],[Part Number]], Catalogue_Components[Part Number], Catalogue_Components[Manufacturer], "-")</f>
        <v>Bossard</v>
      </c>
      <c r="I95" s="16">
        <v>1</v>
      </c>
      <c r="J95" s="16">
        <f>Indented_BoM[[#This Row],[Part]]*J94</f>
        <v>3</v>
      </c>
      <c r="K95" s="21">
        <f>_xlfn.XLOOKUP(Indented_BoM[[#This Row],[Part Number]], Catalogue_Components[Part Number], Catalogue_Components[Price Per Unit], "")</f>
        <v>0.24</v>
      </c>
      <c r="L95" s="20">
        <f>_xlfn.XLOOKUP(Indented_BoM[[#This Row],[Part Number]], Catalogue_Components[Part Number], Catalogue_Components[Print Time], "")</f>
        <v>0</v>
      </c>
      <c r="M95" s="14"/>
      <c r="N95" s="22">
        <f>Indented_BoM[[#This Row],[Part '[CHF']]]*Indented_BoM[[#This Row],[Total]]</f>
        <v>0.72</v>
      </c>
      <c r="O95" s="20">
        <f>IF(L95="", "", Indented_BoM[[#This Row],[Part '[hh:mm']]]*Indented_BoM[[#This Row],[Total]])</f>
        <v>0</v>
      </c>
      <c r="P95">
        <f t="shared" si="2"/>
        <v>5</v>
      </c>
    </row>
    <row r="96" spans="3:16" outlineLevel="1" x14ac:dyDescent="0.25">
      <c r="D96" s="15" t="s">
        <v>289</v>
      </c>
      <c r="F96" s="2" t="s">
        <v>48</v>
      </c>
      <c r="G96" t="str">
        <f>_xlfn.XLOOKUP(Indented_BoM[[#This Row],[Part Number]], Catalogue_Components[Part Number], Catalogue_Components[Descriptive Name], "Component not found!")</f>
        <v>Hex Nut M3 thin</v>
      </c>
      <c r="H96" t="str">
        <f>_xlfn.XLOOKUP(Indented_BoM[[#This Row],[Part Number]], Catalogue_Components[Part Number], Catalogue_Components[Manufacturer], "-")</f>
        <v>Bossard</v>
      </c>
      <c r="I96" s="16">
        <v>1</v>
      </c>
      <c r="J96" s="16">
        <f>Indented_BoM[[#This Row],[Part]]*$J$86</f>
        <v>3</v>
      </c>
      <c r="K96" s="21">
        <f>_xlfn.XLOOKUP(Indented_BoM[[#This Row],[Part Number]], Catalogue_Components[Part Number], Catalogue_Components[Price Per Unit], "")</f>
        <v>0.1285</v>
      </c>
      <c r="L96" s="20">
        <f>_xlfn.XLOOKUP(Indented_BoM[[#This Row],[Part Number]], Catalogue_Components[Part Number], Catalogue_Components[Print Time], "")</f>
        <v>0</v>
      </c>
      <c r="M96" s="14"/>
      <c r="N96" s="22">
        <f>Indented_BoM[[#This Row],[Part '[CHF']]]*Indented_BoM[[#This Row],[Total]]</f>
        <v>0.38550000000000001</v>
      </c>
      <c r="O96" s="20">
        <f>IF(L96="", "", Indented_BoM[[#This Row],[Part '[hh:mm']]]*Indented_BoM[[#This Row],[Total]])</f>
        <v>0</v>
      </c>
      <c r="P96">
        <f t="shared" si="2"/>
        <v>4</v>
      </c>
    </row>
    <row r="97" spans="2:16" outlineLevel="1" x14ac:dyDescent="0.25">
      <c r="D97" s="15" t="s">
        <v>289</v>
      </c>
      <c r="F97" s="2" t="s">
        <v>14</v>
      </c>
      <c r="G97" t="str">
        <f>_xlfn.XLOOKUP(Indented_BoM[[#This Row],[Part Number]], Catalogue_Components[Part Number], Catalogue_Components[Descriptive Name], "Component not found!")</f>
        <v>M3x20 Screw Hex Socket</v>
      </c>
      <c r="H97" t="str">
        <f>_xlfn.XLOOKUP(Indented_BoM[[#This Row],[Part Number]], Catalogue_Components[Part Number], Catalogue_Components[Manufacturer], "-")</f>
        <v>Bossard</v>
      </c>
      <c r="I97" s="16">
        <v>1</v>
      </c>
      <c r="J97" s="16">
        <f>Indented_BoM[[#This Row],[Part]]*$J$86</f>
        <v>3</v>
      </c>
      <c r="K97" s="21">
        <f>_xlfn.XLOOKUP(Indented_BoM[[#This Row],[Part Number]], Catalogue_Components[Part Number], Catalogue_Components[Price Per Unit], "")</f>
        <v>0.21199999999999999</v>
      </c>
      <c r="L97" s="20">
        <f>_xlfn.XLOOKUP(Indented_BoM[[#This Row],[Part Number]], Catalogue_Components[Part Number], Catalogue_Components[Print Time], "")</f>
        <v>0</v>
      </c>
      <c r="M97" s="14"/>
      <c r="N97" s="22">
        <f>Indented_BoM[[#This Row],[Part '[CHF']]]*Indented_BoM[[#This Row],[Total]]</f>
        <v>0.63600000000000001</v>
      </c>
      <c r="O97" s="20">
        <f>IF(L97="", "", Indented_BoM[[#This Row],[Part '[hh:mm']]]*Indented_BoM[[#This Row],[Total]])</f>
        <v>0</v>
      </c>
      <c r="P97">
        <f t="shared" si="2"/>
        <v>4</v>
      </c>
    </row>
    <row r="98" spans="2:16" outlineLevel="1" x14ac:dyDescent="0.25">
      <c r="D98" s="15" t="s">
        <v>289</v>
      </c>
      <c r="F98" s="2" t="s">
        <v>219</v>
      </c>
      <c r="G98" t="str">
        <f>_xlfn.XLOOKUP(Indented_BoM[[#This Row],[Part Number]], Catalogue_Components[Part Number], Catalogue_Components[Descriptive Name], "Component not found!")</f>
        <v>M2.5x5 Hex Socket Screw</v>
      </c>
      <c r="H98" t="str">
        <f>_xlfn.XLOOKUP(Indented_BoM[[#This Row],[Part Number]], Catalogue_Components[Part Number], Catalogue_Components[Manufacturer], "-")</f>
        <v>Bossard</v>
      </c>
      <c r="I98" s="16">
        <v>1</v>
      </c>
      <c r="J98" s="16">
        <f>Indented_BoM[[#This Row],[Part]]*$J$86</f>
        <v>3</v>
      </c>
      <c r="K98" s="21">
        <f>_xlfn.XLOOKUP(Indented_BoM[[#This Row],[Part Number]], Catalogue_Components[Part Number], Catalogue_Components[Price Per Unit], "")</f>
        <v>0.157</v>
      </c>
      <c r="L98" s="20">
        <f>_xlfn.XLOOKUP(Indented_BoM[[#This Row],[Part Number]], Catalogue_Components[Part Number], Catalogue_Components[Print Time], "")</f>
        <v>0</v>
      </c>
      <c r="M98" s="14"/>
      <c r="N98" s="22">
        <f>Indented_BoM[[#This Row],[Part '[CHF']]]*Indented_BoM[[#This Row],[Total]]</f>
        <v>0.47099999999999997</v>
      </c>
      <c r="O98" s="20">
        <f>IF(L98="", "", Indented_BoM[[#This Row],[Part '[hh:mm']]]*Indented_BoM[[#This Row],[Total]])</f>
        <v>0</v>
      </c>
      <c r="P98">
        <f t="shared" si="2"/>
        <v>4</v>
      </c>
    </row>
    <row r="99" spans="2:16" outlineLevel="1" x14ac:dyDescent="0.25">
      <c r="D99" s="15" t="s">
        <v>289</v>
      </c>
      <c r="F99" s="2" t="s">
        <v>304</v>
      </c>
      <c r="G99" t="str">
        <f>_xlfn.XLOOKUP(Indented_BoM[[#This Row],[Part Number]], Catalogue_Components[Part Number], Catalogue_Components[Descriptive Name], "Component not found!")</f>
        <v>Propeller</v>
      </c>
      <c r="H99" t="str">
        <f>_xlfn.XLOOKUP(Indented_BoM[[#This Row],[Part Number]], Catalogue_Components[Part Number], Catalogue_Components[Manufacturer], "-")</f>
        <v>Apisqueen</v>
      </c>
      <c r="I99" s="16">
        <v>1</v>
      </c>
      <c r="J99" s="16">
        <f>Indented_BoM[[#This Row],[Part]]*$J$86</f>
        <v>3</v>
      </c>
      <c r="K99" s="21">
        <f>_xlfn.XLOOKUP(Indented_BoM[[#This Row],[Part Number]], Catalogue_Components[Part Number], Catalogue_Components[Price Per Unit], "")</f>
        <v>3.92</v>
      </c>
      <c r="L99" s="20">
        <f>_xlfn.XLOOKUP(Indented_BoM[[#This Row],[Part Number]], Catalogue_Components[Part Number], Catalogue_Components[Print Time], "")</f>
        <v>0</v>
      </c>
      <c r="M99" s="14"/>
      <c r="N99" s="22">
        <f>Indented_BoM[[#This Row],[Part '[CHF']]]*Indented_BoM[[#This Row],[Total]]</f>
        <v>11.76</v>
      </c>
      <c r="O99" s="20">
        <f>IF(L99="", "", Indented_BoM[[#This Row],[Part '[hh:mm']]]*Indented_BoM[[#This Row],[Total]])</f>
        <v>0</v>
      </c>
      <c r="P99">
        <f t="shared" ref="P99:P130" si="3">MATCH("x",A99:E99,0)</f>
        <v>4</v>
      </c>
    </row>
    <row r="100" spans="2:16" outlineLevel="1" x14ac:dyDescent="0.25">
      <c r="C100" s="15" t="s">
        <v>289</v>
      </c>
      <c r="F100" s="2" t="s">
        <v>307</v>
      </c>
      <c r="G100" t="str">
        <f>_xlfn.XLOOKUP(Indented_BoM[[#This Row],[Part Number]], Catalogue_Components[Part Number], Catalogue_Components[Descriptive Name], "Component not found!")</f>
        <v>PropCowling Assembly</v>
      </c>
      <c r="H100" t="str">
        <f>_xlfn.XLOOKUP(Indented_BoM[[#This Row],[Part Number]], Catalogue_Components[Part Number], Catalogue_Components[Manufacturer], "-")</f>
        <v>Custom</v>
      </c>
      <c r="I100" s="16">
        <v>1</v>
      </c>
      <c r="J100" s="16">
        <f>Indented_BoM[[#This Row],[Part]]*$J$73</f>
        <v>3</v>
      </c>
      <c r="K100" s="21">
        <f>_xlfn.XLOOKUP(Indented_BoM[[#This Row],[Part Number]], Catalogue_Components[Part Number], Catalogue_Components[Price Per Unit], "")</f>
        <v>0</v>
      </c>
      <c r="L100" s="20">
        <f>_xlfn.XLOOKUP(Indented_BoM[[#This Row],[Part Number]], Catalogue_Components[Part Number], Catalogue_Components[Print Time], "")</f>
        <v>0</v>
      </c>
      <c r="M100" s="14"/>
      <c r="N100" s="22">
        <f>Indented_BoM[[#This Row],[Part '[CHF']]]*Indented_BoM[[#This Row],[Total]]+SUMIF(P101:P108,Indented_BoM[[#This Row],[Assy-Lvl]]+1,N101:N108)</f>
        <v>10.38</v>
      </c>
      <c r="O100" s="20">
        <f>Indented_BoM[[#This Row],[Part '[hh:mm']]]*Indented_BoM[[#This Row],[Total]]+SUMIF(P101:P108,Indented_BoM[[#This Row],[Assy-Lvl]]+1,O101:O108)</f>
        <v>0.32708333333333328</v>
      </c>
      <c r="P100">
        <f t="shared" si="3"/>
        <v>3</v>
      </c>
    </row>
    <row r="101" spans="2:16" outlineLevel="1" x14ac:dyDescent="0.25">
      <c r="D101" s="15" t="s">
        <v>289</v>
      </c>
      <c r="F101" s="2" t="s">
        <v>223</v>
      </c>
      <c r="G101" t="str">
        <f>_xlfn.XLOOKUP(Indented_BoM[[#This Row],[Part Number]], Catalogue_Components[Part Number], Catalogue_Components[Descriptive Name], "Component not found!")</f>
        <v>PropCowling</v>
      </c>
      <c r="H101" t="str">
        <f>_xlfn.XLOOKUP(Indented_BoM[[#This Row],[Part Number]], Catalogue_Components[Part Number], Catalogue_Components[Manufacturer], "-")</f>
        <v>Custom</v>
      </c>
      <c r="I101" s="16">
        <v>1</v>
      </c>
      <c r="J101" s="16">
        <f>Indented_BoM[[#This Row],[Part]]*$J$100</f>
        <v>3</v>
      </c>
      <c r="K101" s="21">
        <f>_xlfn.XLOOKUP(Indented_BoM[[#This Row],[Part Number]], Catalogue_Components[Part Number], Catalogue_Components[Price Per Unit], "")</f>
        <v>0</v>
      </c>
      <c r="L101" s="20">
        <f>_xlfn.XLOOKUP(Indented_BoM[[#This Row],[Part Number]], Catalogue_Components[Part Number], Catalogue_Components[Print Time], "")</f>
        <v>5.5555555555555552E-2</v>
      </c>
      <c r="M101" s="14"/>
      <c r="N101" s="22">
        <f>Indented_BoM[[#This Row],[Part '[CHF']]]*Indented_BoM[[#This Row],[Total]]</f>
        <v>0</v>
      </c>
      <c r="O101" s="20">
        <f>IF(L101="", "", Indented_BoM[[#This Row],[Part '[hh:mm']]]*Indented_BoM[[#This Row],[Total]])</f>
        <v>0.16666666666666666</v>
      </c>
      <c r="P101">
        <f t="shared" si="3"/>
        <v>4</v>
      </c>
    </row>
    <row r="102" spans="2:16" outlineLevel="1" x14ac:dyDescent="0.25">
      <c r="D102" s="15" t="s">
        <v>289</v>
      </c>
      <c r="F102" s="2" t="s">
        <v>224</v>
      </c>
      <c r="G102" t="str">
        <f>_xlfn.XLOOKUP(Indented_BoM[[#This Row],[Part Number]], Catalogue_Components[Part Number], Catalogue_Components[Descriptive Name], "Component not found!")</f>
        <v>PropCowling Bearing Holder</v>
      </c>
      <c r="H102" t="str">
        <f>_xlfn.XLOOKUP(Indented_BoM[[#This Row],[Part Number]], Catalogue_Components[Part Number], Catalogue_Components[Manufacturer], "-")</f>
        <v>Custom</v>
      </c>
      <c r="I102" s="16">
        <v>1</v>
      </c>
      <c r="J102" s="16">
        <f>Indented_BoM[[#This Row],[Part]]*$J$100</f>
        <v>3</v>
      </c>
      <c r="K102" s="21">
        <f>_xlfn.XLOOKUP(Indented_BoM[[#This Row],[Part Number]], Catalogue_Components[Part Number], Catalogue_Components[Price Per Unit], "")</f>
        <v>0</v>
      </c>
      <c r="L102" s="20">
        <f>_xlfn.XLOOKUP(Indented_BoM[[#This Row],[Part Number]], Catalogue_Components[Part Number], Catalogue_Components[Print Time], "")</f>
        <v>6.9444444444444441E-3</v>
      </c>
      <c r="M102" s="14"/>
      <c r="N102" s="22">
        <f>Indented_BoM[[#This Row],[Total]]*Indented_BoM[[#This Row],[Part '[CHF']]]+SUM(N103)</f>
        <v>9.66</v>
      </c>
      <c r="O102" s="20">
        <f>IF(L102="", "", Indented_BoM[[#This Row],[Part '[hh:mm']]]*Indented_BoM[[#This Row],[Total]])</f>
        <v>2.0833333333333332E-2</v>
      </c>
      <c r="P102">
        <f t="shared" si="3"/>
        <v>4</v>
      </c>
    </row>
    <row r="103" spans="2:16" outlineLevel="1" x14ac:dyDescent="0.25">
      <c r="E103" s="15" t="s">
        <v>289</v>
      </c>
      <c r="F103" s="2" t="s">
        <v>13</v>
      </c>
      <c r="G103" t="str">
        <f>_xlfn.XLOOKUP(Indented_BoM[[#This Row],[Part Number]], Catalogue_Components[Part Number], Catalogue_Components[Descriptive Name], "Component not found!")</f>
        <v>Ball Bearing</v>
      </c>
      <c r="H103" t="str">
        <f>_xlfn.XLOOKUP(Indented_BoM[[#This Row],[Part Number]], Catalogue_Components[Part Number], Catalogue_Components[Manufacturer], "-")</f>
        <v>igus</v>
      </c>
      <c r="I103" s="16">
        <v>1</v>
      </c>
      <c r="J103" s="16">
        <f>Indented_BoM[[#This Row],[Part]]*J102</f>
        <v>3</v>
      </c>
      <c r="K103" s="21">
        <f>_xlfn.XLOOKUP(Indented_BoM[[#This Row],[Part Number]], Catalogue_Components[Part Number], Catalogue_Components[Price Per Unit], "")</f>
        <v>3.22</v>
      </c>
      <c r="L103" s="20">
        <f>_xlfn.XLOOKUP(Indented_BoM[[#This Row],[Part Number]], Catalogue_Components[Part Number], Catalogue_Components[Print Time], "")</f>
        <v>0</v>
      </c>
      <c r="M103" s="14"/>
      <c r="N103" s="22">
        <f>Indented_BoM[[#This Row],[Part '[CHF']]]*Indented_BoM[[#This Row],[Total]]</f>
        <v>9.66</v>
      </c>
      <c r="O103" s="20">
        <f>IF(L103="", "", Indented_BoM[[#This Row],[Part '[hh:mm']]]*Indented_BoM[[#This Row],[Total]])</f>
        <v>0</v>
      </c>
      <c r="P103">
        <f t="shared" si="3"/>
        <v>5</v>
      </c>
    </row>
    <row r="104" spans="2:16" outlineLevel="1" x14ac:dyDescent="0.25">
      <c r="D104" s="15" t="s">
        <v>289</v>
      </c>
      <c r="F104" s="2" t="s">
        <v>225</v>
      </c>
      <c r="G104" t="str">
        <f>_xlfn.XLOOKUP(Indented_BoM[[#This Row],[Part Number]], Catalogue_Components[Part Number], Catalogue_Components[Descriptive Name], "Component not found!")</f>
        <v>PropCowling Foil L</v>
      </c>
      <c r="H104" t="str">
        <f>_xlfn.XLOOKUP(Indented_BoM[[#This Row],[Part Number]], Catalogue_Components[Part Number], Catalogue_Components[Manufacturer], "-")</f>
        <v>Custom</v>
      </c>
      <c r="I104" s="16">
        <v>1</v>
      </c>
      <c r="J104" s="16">
        <f>Indented_BoM[[#This Row],[Part]]*$J$100</f>
        <v>3</v>
      </c>
      <c r="K104" s="21">
        <f>_xlfn.XLOOKUP(Indented_BoM[[#This Row],[Part Number]], Catalogue_Components[Part Number], Catalogue_Components[Price Per Unit], "")</f>
        <v>0</v>
      </c>
      <c r="L104" s="20">
        <f>_xlfn.XLOOKUP(Indented_BoM[[#This Row],[Part Number]], Catalogue_Components[Part Number], Catalogue_Components[Print Time], "")</f>
        <v>1.1111111111111112E-2</v>
      </c>
      <c r="M104" s="14"/>
      <c r="N104" s="22">
        <f>Indented_BoM[[#This Row],[Part '[CHF']]]*Indented_BoM[[#This Row],[Total]]</f>
        <v>0</v>
      </c>
      <c r="O104" s="20">
        <f>IF(L104="", "", Indented_BoM[[#This Row],[Part '[hh:mm']]]*Indented_BoM[[#This Row],[Total]])</f>
        <v>3.3333333333333333E-2</v>
      </c>
      <c r="P104">
        <f t="shared" si="3"/>
        <v>4</v>
      </c>
    </row>
    <row r="105" spans="2:16" outlineLevel="1" x14ac:dyDescent="0.25">
      <c r="D105" s="15" t="s">
        <v>289</v>
      </c>
      <c r="F105" s="2" t="s">
        <v>228</v>
      </c>
      <c r="G105" t="str">
        <f>_xlfn.XLOOKUP(Indented_BoM[[#This Row],[Part Number]], Catalogue_Components[Part Number], Catalogue_Components[Descriptive Name], "Component not found!")</f>
        <v>PropCowling Foil Bot</v>
      </c>
      <c r="H105" t="str">
        <f>_xlfn.XLOOKUP(Indented_BoM[[#This Row],[Part Number]], Catalogue_Components[Part Number], Catalogue_Components[Manufacturer], "-")</f>
        <v>Custom</v>
      </c>
      <c r="I105" s="16">
        <v>1</v>
      </c>
      <c r="J105" s="16">
        <f>Indented_BoM[[#This Row],[Part]]*$J$100</f>
        <v>3</v>
      </c>
      <c r="K105" s="21">
        <f>_xlfn.XLOOKUP(Indented_BoM[[#This Row],[Part Number]], Catalogue_Components[Part Number], Catalogue_Components[Price Per Unit], "")</f>
        <v>0</v>
      </c>
      <c r="L105" s="20">
        <f>_xlfn.XLOOKUP(Indented_BoM[[#This Row],[Part Number]], Catalogue_Components[Part Number], Catalogue_Components[Print Time], "")</f>
        <v>1.2500000000000001E-2</v>
      </c>
      <c r="M105" s="14"/>
      <c r="N105" s="22">
        <f>Indented_BoM[[#This Row],[Total]]*Indented_BoM[[#This Row],[Part '[CHF']]]+SUM(N106)</f>
        <v>0.72</v>
      </c>
      <c r="O105" s="20">
        <f>IF(L105="", "", Indented_BoM[[#This Row],[Part '[hh:mm']]]*Indented_BoM[[#This Row],[Total]])</f>
        <v>3.7500000000000006E-2</v>
      </c>
      <c r="P105">
        <f t="shared" si="3"/>
        <v>4</v>
      </c>
    </row>
    <row r="106" spans="2:16" outlineLevel="1" x14ac:dyDescent="0.25">
      <c r="E106" s="15" t="s">
        <v>289</v>
      </c>
      <c r="F106" s="2" t="s">
        <v>26</v>
      </c>
      <c r="G106" t="str">
        <f>_xlfn.XLOOKUP(Indented_BoM[[#This Row],[Part Number]], Catalogue_Components[Part Number], Catalogue_Components[Descriptive Name], "Component not found!")</f>
        <v>M3 Threaded Insert</v>
      </c>
      <c r="H106" t="str">
        <f>_xlfn.XLOOKUP(Indented_BoM[[#This Row],[Part Number]], Catalogue_Components[Part Number], Catalogue_Components[Manufacturer], "-")</f>
        <v>Bossard</v>
      </c>
      <c r="I106" s="16">
        <v>1</v>
      </c>
      <c r="J106" s="16">
        <f>Indented_BoM[[#This Row],[Part]]*J105</f>
        <v>3</v>
      </c>
      <c r="K106" s="21">
        <f>_xlfn.XLOOKUP(Indented_BoM[[#This Row],[Part Number]], Catalogue_Components[Part Number], Catalogue_Components[Price Per Unit], "")</f>
        <v>0.24</v>
      </c>
      <c r="L106" s="20">
        <f>_xlfn.XLOOKUP(Indented_BoM[[#This Row],[Part Number]], Catalogue_Components[Part Number], Catalogue_Components[Print Time], "")</f>
        <v>0</v>
      </c>
      <c r="M106" s="14"/>
      <c r="N106" s="22">
        <f>Indented_BoM[[#This Row],[Part '[CHF']]]*Indented_BoM[[#This Row],[Total]]</f>
        <v>0.72</v>
      </c>
      <c r="O106" s="20">
        <f>IF(L106="", "", Indented_BoM[[#This Row],[Part '[hh:mm']]]*Indented_BoM[[#This Row],[Total]])</f>
        <v>0</v>
      </c>
      <c r="P106">
        <f t="shared" si="3"/>
        <v>5</v>
      </c>
    </row>
    <row r="107" spans="2:16" outlineLevel="1" x14ac:dyDescent="0.25">
      <c r="D107" s="15" t="s">
        <v>289</v>
      </c>
      <c r="F107" s="2" t="s">
        <v>227</v>
      </c>
      <c r="G107" t="str">
        <f>_xlfn.XLOOKUP(Indented_BoM[[#This Row],[Part Number]], Catalogue_Components[Part Number], Catalogue_Components[Descriptive Name], "Component not found!")</f>
        <v>PropCowling Foil Top</v>
      </c>
      <c r="H107" t="str">
        <f>_xlfn.XLOOKUP(Indented_BoM[[#This Row],[Part Number]], Catalogue_Components[Part Number], Catalogue_Components[Manufacturer], "-")</f>
        <v>Custom</v>
      </c>
      <c r="I107" s="16">
        <v>1</v>
      </c>
      <c r="J107" s="16">
        <f>Indented_BoM[[#This Row],[Part]]*$J$100</f>
        <v>3</v>
      </c>
      <c r="K107" s="21">
        <f>_xlfn.XLOOKUP(Indented_BoM[[#This Row],[Part Number]], Catalogue_Components[Part Number], Catalogue_Components[Price Per Unit], "")</f>
        <v>0</v>
      </c>
      <c r="L107" s="20">
        <f>_xlfn.XLOOKUP(Indented_BoM[[#This Row],[Part Number]], Catalogue_Components[Part Number], Catalogue_Components[Print Time], "")</f>
        <v>1.1805555555555555E-2</v>
      </c>
      <c r="M107" s="14"/>
      <c r="N107" s="22">
        <f>Indented_BoM[[#This Row],[Part '[CHF']]]*Indented_BoM[[#This Row],[Total]]</f>
        <v>0</v>
      </c>
      <c r="O107" s="20">
        <f>IF(L107="", "", Indented_BoM[[#This Row],[Part '[hh:mm']]]*Indented_BoM[[#This Row],[Total]])</f>
        <v>3.5416666666666666E-2</v>
      </c>
      <c r="P107">
        <f t="shared" si="3"/>
        <v>4</v>
      </c>
    </row>
    <row r="108" spans="2:16" outlineLevel="1" x14ac:dyDescent="0.25">
      <c r="D108" s="15" t="s">
        <v>289</v>
      </c>
      <c r="F108" s="2" t="s">
        <v>226</v>
      </c>
      <c r="G108" t="str">
        <f>_xlfn.XLOOKUP(Indented_BoM[[#This Row],[Part Number]], Catalogue_Components[Part Number], Catalogue_Components[Descriptive Name], "Component not found!")</f>
        <v>PropCowling Foil R</v>
      </c>
      <c r="H108" t="str">
        <f>_xlfn.XLOOKUP(Indented_BoM[[#This Row],[Part Number]], Catalogue_Components[Part Number], Catalogue_Components[Manufacturer], "-")</f>
        <v>Custom</v>
      </c>
      <c r="I108" s="16">
        <v>1</v>
      </c>
      <c r="J108" s="16">
        <f>Indented_BoM[[#This Row],[Part]]*$J$100</f>
        <v>3</v>
      </c>
      <c r="K108" s="21">
        <f>_xlfn.XLOOKUP(Indented_BoM[[#This Row],[Part Number]], Catalogue_Components[Part Number], Catalogue_Components[Price Per Unit], "")</f>
        <v>0</v>
      </c>
      <c r="L108" s="20">
        <f>_xlfn.XLOOKUP(Indented_BoM[[#This Row],[Part Number]], Catalogue_Components[Part Number], Catalogue_Components[Print Time], "")</f>
        <v>1.1111111111111112E-2</v>
      </c>
      <c r="M108" s="14"/>
      <c r="N108" s="22">
        <f>Indented_BoM[[#This Row],[Part '[CHF']]]*Indented_BoM[[#This Row],[Total]]</f>
        <v>0</v>
      </c>
      <c r="O108" s="20">
        <f>IF(L108="", "", Indented_BoM[[#This Row],[Part '[hh:mm']]]*Indented_BoM[[#This Row],[Total]])</f>
        <v>3.3333333333333333E-2</v>
      </c>
      <c r="P108">
        <f t="shared" si="3"/>
        <v>4</v>
      </c>
    </row>
    <row r="109" spans="2:16" outlineLevel="1" x14ac:dyDescent="0.25">
      <c r="C109" s="15" t="s">
        <v>289</v>
      </c>
      <c r="F109" s="2" t="s">
        <v>24</v>
      </c>
      <c r="G109" t="str">
        <f>_xlfn.XLOOKUP(Indented_BoM[[#This Row],[Part Number]], Catalogue_Components[Part Number], Catalogue_Components[Descriptive Name], "Component not found!")</f>
        <v>Flat Washer M3</v>
      </c>
      <c r="H109" t="str">
        <f>_xlfn.XLOOKUP(Indented_BoM[[#This Row],[Part Number]], Catalogue_Components[Part Number], Catalogue_Components[Manufacturer], "-")</f>
        <v>Bossard</v>
      </c>
      <c r="I109" s="16">
        <v>1</v>
      </c>
      <c r="J109" s="16">
        <f>Indented_BoM[[#This Row],[Part]]*$J$72</f>
        <v>1</v>
      </c>
      <c r="K109" s="21">
        <f>_xlfn.XLOOKUP(Indented_BoM[[#This Row],[Part Number]], Catalogue_Components[Part Number], Catalogue_Components[Price Per Unit], "")</f>
        <v>3.2000000000000001E-2</v>
      </c>
      <c r="L109" s="20">
        <f>_xlfn.XLOOKUP(Indented_BoM[[#This Row],[Part Number]], Catalogue_Components[Part Number], Catalogue_Components[Print Time], "")</f>
        <v>0</v>
      </c>
      <c r="M109" s="14"/>
      <c r="N109" s="22">
        <f>Indented_BoM[[#This Row],[Part '[CHF']]]*Indented_BoM[[#This Row],[Total]]</f>
        <v>3.2000000000000001E-2</v>
      </c>
      <c r="O109" s="20">
        <f>IF(L109="", "", Indented_BoM[[#This Row],[Part '[hh:mm']]]*Indented_BoM[[#This Row],[Total]])</f>
        <v>0</v>
      </c>
      <c r="P109">
        <f t="shared" si="3"/>
        <v>3</v>
      </c>
    </row>
    <row r="110" spans="2:16" outlineLevel="1" x14ac:dyDescent="0.25">
      <c r="C110" s="15" t="s">
        <v>289</v>
      </c>
      <c r="F110" s="2" t="s">
        <v>16</v>
      </c>
      <c r="G110" t="str">
        <f>_xlfn.XLOOKUP(Indented_BoM[[#This Row],[Part Number]], Catalogue_Components[Part Number], Catalogue_Components[Descriptive Name], "Component not found!")</f>
        <v>M3x8 Screw Hex Socket</v>
      </c>
      <c r="H110" t="str">
        <f>_xlfn.XLOOKUP(Indented_BoM[[#This Row],[Part Number]], Catalogue_Components[Part Number], Catalogue_Components[Manufacturer], "-")</f>
        <v>Bossard</v>
      </c>
      <c r="I110" s="16">
        <v>3</v>
      </c>
      <c r="J110" s="16">
        <f>Indented_BoM[[#This Row],[Part]]*$J$72</f>
        <v>3</v>
      </c>
      <c r="K110" s="21">
        <f>_xlfn.XLOOKUP(Indented_BoM[[#This Row],[Part Number]], Catalogue_Components[Part Number], Catalogue_Components[Price Per Unit], "")</f>
        <v>0.188</v>
      </c>
      <c r="L110" s="20">
        <f>_xlfn.XLOOKUP(Indented_BoM[[#This Row],[Part Number]], Catalogue_Components[Part Number], Catalogue_Components[Print Time], "")</f>
        <v>0</v>
      </c>
      <c r="M110" s="14"/>
      <c r="N110" s="22">
        <f>Indented_BoM[[#This Row],[Part '[CHF']]]*Indented_BoM[[#This Row],[Total]]</f>
        <v>0.56400000000000006</v>
      </c>
      <c r="O110" s="20">
        <f>IF(L110="", "", Indented_BoM[[#This Row],[Part '[hh:mm']]]*Indented_BoM[[#This Row],[Total]])</f>
        <v>0</v>
      </c>
      <c r="P110">
        <f t="shared" si="3"/>
        <v>3</v>
      </c>
    </row>
    <row r="111" spans="2:16" outlineLevel="1" x14ac:dyDescent="0.25">
      <c r="B111" s="15" t="s">
        <v>289</v>
      </c>
      <c r="F111" s="2" t="s">
        <v>63</v>
      </c>
      <c r="G111" t="str">
        <f>_xlfn.XLOOKUP(Indented_BoM[[#This Row],[Part Number]], Catalogue_Components[Part Number], Catalogue_Components[Descriptive Name], "Component not found!")</f>
        <v>Frame Inside Width (L = 275 mm)</v>
      </c>
      <c r="H111" t="str">
        <f>_xlfn.XLOOKUP(Indented_BoM[[#This Row],[Part Number]], Catalogue_Components[Part Number], Catalogue_Components[Manufacturer], "-")</f>
        <v>item</v>
      </c>
      <c r="I111" s="16">
        <v>2</v>
      </c>
      <c r="J111" s="16">
        <f>Indented_BoM[[#This Row],[Part]]*$J$72</f>
        <v>2</v>
      </c>
      <c r="K111" s="21">
        <f>_xlfn.XLOOKUP(Indented_BoM[[#This Row],[Part Number]], Catalogue_Components[Part Number], Catalogue_Components[Price Per Unit], "")</f>
        <v>8.4830000000000005</v>
      </c>
      <c r="L111" s="20">
        <f>_xlfn.XLOOKUP(Indented_BoM[[#This Row],[Part Number]], Catalogue_Components[Part Number], Catalogue_Components[Print Time], "")</f>
        <v>0</v>
      </c>
      <c r="M111" s="14"/>
      <c r="N111" s="22">
        <f>Indented_BoM[[#This Row],[Part '[CHF']]]*Indented_BoM[[#This Row],[Total]]</f>
        <v>16.966000000000001</v>
      </c>
      <c r="O111" s="20">
        <f>IF(L111="", "", Indented_BoM[[#This Row],[Part '[hh:mm']]]*Indented_BoM[[#This Row],[Total]])</f>
        <v>0</v>
      </c>
      <c r="P111">
        <f t="shared" si="3"/>
        <v>2</v>
      </c>
    </row>
    <row r="112" spans="2:16" outlineLevel="1" x14ac:dyDescent="0.25">
      <c r="B112" s="15" t="s">
        <v>289</v>
      </c>
      <c r="F112" s="2" t="s">
        <v>207</v>
      </c>
      <c r="G112" t="str">
        <f>_xlfn.XLOOKUP(Indented_BoM[[#This Row],[Part Number]], Catalogue_Components[Part Number], Catalogue_Components[Descriptive Name], "Component not found!")</f>
        <v>item PlatformClip Platform Adapter Mirrored</v>
      </c>
      <c r="H112" t="str">
        <f>_xlfn.XLOOKUP(Indented_BoM[[#This Row],[Part Number]], Catalogue_Components[Part Number], Catalogue_Components[Manufacturer], "-")</f>
        <v>Custom</v>
      </c>
      <c r="I112" s="16">
        <v>1</v>
      </c>
      <c r="J112" s="16">
        <f>Indented_BoM[[#This Row],[Part]]*$J$72</f>
        <v>1</v>
      </c>
      <c r="K112" s="21">
        <f>_xlfn.XLOOKUP(Indented_BoM[[#This Row],[Part Number]], Catalogue_Components[Part Number], Catalogue_Components[Price Per Unit], "")</f>
        <v>0</v>
      </c>
      <c r="L112" s="20">
        <f>_xlfn.XLOOKUP(Indented_BoM[[#This Row],[Part Number]], Catalogue_Components[Part Number], Catalogue_Components[Print Time], "")</f>
        <v>1.8749999999999999E-2</v>
      </c>
      <c r="M112" s="14"/>
      <c r="N112" s="22">
        <f>Indented_BoM[[#This Row],[Part '[CHF']]]*Indented_BoM[[#This Row],[Total]]</f>
        <v>0</v>
      </c>
      <c r="O112" s="20">
        <f>IF(L112="", "", Indented_BoM[[#This Row],[Part '[hh:mm']]]*Indented_BoM[[#This Row],[Total]])</f>
        <v>1.8749999999999999E-2</v>
      </c>
      <c r="P112">
        <f t="shared" si="3"/>
        <v>2</v>
      </c>
    </row>
    <row r="113" spans="1:16" outlineLevel="1" x14ac:dyDescent="0.25">
      <c r="B113" s="15" t="s">
        <v>289</v>
      </c>
      <c r="F113" s="2" t="s">
        <v>206</v>
      </c>
      <c r="G113" t="str">
        <f>_xlfn.XLOOKUP(Indented_BoM[[#This Row],[Part Number]], Catalogue_Components[Part Number], Catalogue_Components[Descriptive Name], "Component not found!")</f>
        <v>item PlatformClip Platform Adapter</v>
      </c>
      <c r="H113" t="str">
        <f>_xlfn.XLOOKUP(Indented_BoM[[#This Row],[Part Number]], Catalogue_Components[Part Number], Catalogue_Components[Manufacturer], "-")</f>
        <v>Custom</v>
      </c>
      <c r="I113" s="16">
        <v>1</v>
      </c>
      <c r="J113" s="16">
        <f>Indented_BoM[[#This Row],[Part]]*$J$72</f>
        <v>1</v>
      </c>
      <c r="K113" s="21">
        <f>_xlfn.XLOOKUP(Indented_BoM[[#This Row],[Part Number]], Catalogue_Components[Part Number], Catalogue_Components[Price Per Unit], "")</f>
        <v>0</v>
      </c>
      <c r="L113" s="20">
        <f>_xlfn.XLOOKUP(Indented_BoM[[#This Row],[Part Number]], Catalogue_Components[Part Number], Catalogue_Components[Print Time], "")</f>
        <v>1.8749999999999999E-2</v>
      </c>
      <c r="M113" s="14"/>
      <c r="N113" s="22">
        <f>Indented_BoM[[#This Row],[Part '[CHF']]]*Indented_BoM[[#This Row],[Total]]</f>
        <v>0</v>
      </c>
      <c r="O113" s="20">
        <f>IF(L113="", "", Indented_BoM[[#This Row],[Part '[hh:mm']]]*Indented_BoM[[#This Row],[Total]])</f>
        <v>1.8749999999999999E-2</v>
      </c>
      <c r="P113">
        <f t="shared" si="3"/>
        <v>2</v>
      </c>
    </row>
    <row r="114" spans="1:16" x14ac:dyDescent="0.25">
      <c r="A114" s="15" t="s">
        <v>289</v>
      </c>
      <c r="F114" s="2" t="s">
        <v>308</v>
      </c>
      <c r="G114" t="str">
        <f>_xlfn.XLOOKUP(Indented_BoM[[#This Row],[Part Number]], Catalogue_Components[Part Number], Catalogue_Components[Descriptive Name], "Component not found!")</f>
        <v>Left Turning Vane Complete Assembly</v>
      </c>
      <c r="H114" t="str">
        <f>_xlfn.XLOOKUP(Indented_BoM[[#This Row],[Part Number]], Catalogue_Components[Part Number], Catalogue_Components[Manufacturer], "-")</f>
        <v>Custom</v>
      </c>
      <c r="I114" s="16">
        <v>1</v>
      </c>
      <c r="J114" s="16">
        <v>1</v>
      </c>
      <c r="K114" s="21">
        <f>_xlfn.XLOOKUP(Indented_BoM[[#This Row],[Part Number]], Catalogue_Components[Part Number], Catalogue_Components[Price Per Unit], "")</f>
        <v>0</v>
      </c>
      <c r="L114" s="20">
        <f>_xlfn.XLOOKUP(Indented_BoM[[#This Row],[Part Number]], Catalogue_Components[Part Number], Catalogue_Components[Print Time], "")</f>
        <v>0</v>
      </c>
      <c r="M114" s="14"/>
      <c r="N114" s="22">
        <f>Indented_BoM[[#This Row],[Part '[CHF']]]*Indented_BoM[[#This Row],[Total]]+SUMIF(P115:P122,Indented_BoM[[#This Row],[Assy-Lvl]]+1,N115:N122)</f>
        <v>16.966000000000001</v>
      </c>
      <c r="O114" s="20">
        <f>Indented_BoM[[#This Row],[Part '[hh:mm']]]*Indented_BoM[[#This Row],[Total]]+SUMIF(P115:P122,Indented_BoM[[#This Row],[Assy-Lvl]]+1,O115:O122)</f>
        <v>0.76666666666666661</v>
      </c>
      <c r="P114">
        <f t="shared" si="3"/>
        <v>1</v>
      </c>
    </row>
    <row r="115" spans="1:16" outlineLevel="1" x14ac:dyDescent="0.25">
      <c r="B115" s="15" t="s">
        <v>289</v>
      </c>
      <c r="F115" s="2" t="s">
        <v>309</v>
      </c>
      <c r="G115" t="str">
        <f>_xlfn.XLOOKUP(Indented_BoM[[#This Row],[Part Number]], Catalogue_Components[Part Number], Catalogue_Components[Descriptive Name], "Component not found!")</f>
        <v>Turning Vane Block Assembly</v>
      </c>
      <c r="H115" t="str">
        <f>_xlfn.XLOOKUP(Indented_BoM[[#This Row],[Part Number]], Catalogue_Components[Part Number], Catalogue_Components[Manufacturer], "-")</f>
        <v>Custom</v>
      </c>
      <c r="I115" s="16">
        <v>3</v>
      </c>
      <c r="J115" s="16">
        <f>Indented_BoM[[#This Row],[Part]]*$J$114</f>
        <v>3</v>
      </c>
      <c r="K115" s="21">
        <f>_xlfn.XLOOKUP(Indented_BoM[[#This Row],[Part Number]], Catalogue_Components[Part Number], Catalogue_Components[Price Per Unit], "")</f>
        <v>0</v>
      </c>
      <c r="L115" s="20">
        <f>_xlfn.XLOOKUP(Indented_BoM[[#This Row],[Part Number]], Catalogue_Components[Part Number], Catalogue_Components[Print Time], "")</f>
        <v>0</v>
      </c>
      <c r="M115" s="14"/>
      <c r="N115" s="22">
        <f>Indented_BoM[[#This Row],[Total]]*Indented_BoM[[#This Row],[Part '[CHF']]]+SUM(N116:N119)</f>
        <v>0</v>
      </c>
      <c r="O115" s="20">
        <f>Indented_BoM[[#This Row],[Part '[hh:mm']]]*Indented_BoM[[#This Row],[Total]]+SUMIF(P116:P119,Indented_BoM[[#This Row],[Assy-Lvl]]+1,O116:O119)</f>
        <v>0.69166666666666665</v>
      </c>
      <c r="P115">
        <f t="shared" si="3"/>
        <v>2</v>
      </c>
    </row>
    <row r="116" spans="1:16" outlineLevel="1" x14ac:dyDescent="0.25">
      <c r="C116" s="15" t="s">
        <v>289</v>
      </c>
      <c r="F116" s="2" t="s">
        <v>229</v>
      </c>
      <c r="G116" t="str">
        <f>_xlfn.XLOOKUP(Indented_BoM[[#This Row],[Part Number]], Catalogue_Components[Part Number], Catalogue_Components[Descriptive Name], "Component not found!")</f>
        <v>Vanes Cover Side Lower Rear</v>
      </c>
      <c r="H116" t="str">
        <f>_xlfn.XLOOKUP(Indented_BoM[[#This Row],[Part Number]], Catalogue_Components[Part Number], Catalogue_Components[Manufacturer], "-")</f>
        <v>Custom</v>
      </c>
      <c r="I116" s="16">
        <v>1</v>
      </c>
      <c r="J116" s="16">
        <f>Indented_BoM[[#This Row],[Part]]*$J$115</f>
        <v>3</v>
      </c>
      <c r="K116" s="21">
        <f>_xlfn.XLOOKUP(Indented_BoM[[#This Row],[Part Number]], Catalogue_Components[Part Number], Catalogue_Components[Price Per Unit], "")</f>
        <v>0</v>
      </c>
      <c r="L116" s="20">
        <f>_xlfn.XLOOKUP(Indented_BoM[[#This Row],[Part Number]], Catalogue_Components[Part Number], Catalogue_Components[Print Time], "")</f>
        <v>3.0555555555555555E-2</v>
      </c>
      <c r="M116" s="14"/>
      <c r="N116" s="22">
        <f>Indented_BoM[[#This Row],[Part '[CHF']]]*Indented_BoM[[#This Row],[Total]]</f>
        <v>0</v>
      </c>
      <c r="O116" s="20">
        <f>Indented_BoM[[#This Row],[Total]]*Indented_BoM[[#This Row],[Part '[hh:mm']]]</f>
        <v>9.166666666666666E-2</v>
      </c>
      <c r="P116">
        <f t="shared" si="3"/>
        <v>3</v>
      </c>
    </row>
    <row r="117" spans="1:16" outlineLevel="1" x14ac:dyDescent="0.25">
      <c r="C117" s="15" t="s">
        <v>289</v>
      </c>
      <c r="F117" s="2" t="s">
        <v>230</v>
      </c>
      <c r="G117" t="str">
        <f>_xlfn.XLOOKUP(Indented_BoM[[#This Row],[Part Number]], Catalogue_Components[Part Number], Catalogue_Components[Descriptive Name], "Component not found!")</f>
        <v>Vanes Cover Side Lower Front</v>
      </c>
      <c r="H117" t="str">
        <f>_xlfn.XLOOKUP(Indented_BoM[[#This Row],[Part Number]], Catalogue_Components[Part Number], Catalogue_Components[Manufacturer], "-")</f>
        <v>Custom</v>
      </c>
      <c r="I117" s="16">
        <v>1</v>
      </c>
      <c r="J117" s="16">
        <f>Indented_BoM[[#This Row],[Part]]*$J$115</f>
        <v>3</v>
      </c>
      <c r="K117" s="21">
        <f>_xlfn.XLOOKUP(Indented_BoM[[#This Row],[Part Number]], Catalogue_Components[Part Number], Catalogue_Components[Price Per Unit], "")</f>
        <v>0</v>
      </c>
      <c r="L117" s="20">
        <f>_xlfn.XLOOKUP(Indented_BoM[[#This Row],[Part Number]], Catalogue_Components[Part Number], Catalogue_Components[Print Time], "")</f>
        <v>6.5972222222222224E-2</v>
      </c>
      <c r="M117" s="14"/>
      <c r="N117" s="22">
        <f>Indented_BoM[[#This Row],[Part '[CHF']]]*Indented_BoM[[#This Row],[Total]]</f>
        <v>0</v>
      </c>
      <c r="O117" s="20">
        <f>Indented_BoM[[#This Row],[Total]]*Indented_BoM[[#This Row],[Part '[hh:mm']]]</f>
        <v>0.19791666666666669</v>
      </c>
      <c r="P117">
        <f t="shared" si="3"/>
        <v>3</v>
      </c>
    </row>
    <row r="118" spans="1:16" outlineLevel="1" x14ac:dyDescent="0.25">
      <c r="C118" s="15" t="s">
        <v>289</v>
      </c>
      <c r="F118" s="2" t="s">
        <v>231</v>
      </c>
      <c r="G118" t="str">
        <f>_xlfn.XLOOKUP(Indented_BoM[[#This Row],[Part Number]], Catalogue_Components[Part Number], Catalogue_Components[Descriptive Name], "Component not found!")</f>
        <v>Vanes Cover Side Upper Rear</v>
      </c>
      <c r="H118" t="str">
        <f>_xlfn.XLOOKUP(Indented_BoM[[#This Row],[Part Number]], Catalogue_Components[Part Number], Catalogue_Components[Manufacturer], "-")</f>
        <v>Custom</v>
      </c>
      <c r="I118" s="16">
        <v>1</v>
      </c>
      <c r="J118" s="16">
        <f>Indented_BoM[[#This Row],[Part]]*$J$115</f>
        <v>3</v>
      </c>
      <c r="K118" s="21">
        <f>_xlfn.XLOOKUP(Indented_BoM[[#This Row],[Part Number]], Catalogue_Components[Part Number], Catalogue_Components[Price Per Unit], "")</f>
        <v>0</v>
      </c>
      <c r="L118" s="20">
        <f>_xlfn.XLOOKUP(Indented_BoM[[#This Row],[Part Number]], Catalogue_Components[Part Number], Catalogue_Components[Print Time], "")</f>
        <v>4.8611111111111112E-2</v>
      </c>
      <c r="M118" s="14"/>
      <c r="N118" s="22">
        <f>Indented_BoM[[#This Row],[Part '[CHF']]]*Indented_BoM[[#This Row],[Total]]</f>
        <v>0</v>
      </c>
      <c r="O118" s="20">
        <f>Indented_BoM[[#This Row],[Total]]*Indented_BoM[[#This Row],[Part '[hh:mm']]]</f>
        <v>0.14583333333333334</v>
      </c>
      <c r="P118">
        <f t="shared" si="3"/>
        <v>3</v>
      </c>
    </row>
    <row r="119" spans="1:16" outlineLevel="1" x14ac:dyDescent="0.25">
      <c r="C119" s="15" t="s">
        <v>289</v>
      </c>
      <c r="F119" s="2" t="s">
        <v>232</v>
      </c>
      <c r="G119" t="str">
        <f>_xlfn.XLOOKUP(Indented_BoM[[#This Row],[Part Number]], Catalogue_Components[Part Number], Catalogue_Components[Descriptive Name], "Component not found!")</f>
        <v>Vanes Cover Side Upper Front</v>
      </c>
      <c r="H119" t="str">
        <f>_xlfn.XLOOKUP(Indented_BoM[[#This Row],[Part Number]], Catalogue_Components[Part Number], Catalogue_Components[Manufacturer], "-")</f>
        <v>Custom</v>
      </c>
      <c r="I119" s="16">
        <v>1</v>
      </c>
      <c r="J119" s="16">
        <f>Indented_BoM[[#This Row],[Part]]*$J$115</f>
        <v>3</v>
      </c>
      <c r="K119" s="21">
        <f>_xlfn.XLOOKUP(Indented_BoM[[#This Row],[Part Number]], Catalogue_Components[Part Number], Catalogue_Components[Price Per Unit], "")</f>
        <v>0</v>
      </c>
      <c r="L119" s="20">
        <f>_xlfn.XLOOKUP(Indented_BoM[[#This Row],[Part Number]], Catalogue_Components[Part Number], Catalogue_Components[Print Time], "")</f>
        <v>8.5416666666666669E-2</v>
      </c>
      <c r="M119" s="14"/>
      <c r="N119" s="22">
        <f>Indented_BoM[[#This Row],[Part '[CHF']]]*Indented_BoM[[#This Row],[Total]]</f>
        <v>0</v>
      </c>
      <c r="O119" s="20">
        <f>Indented_BoM[[#This Row],[Total]]*Indented_BoM[[#This Row],[Part '[hh:mm']]]</f>
        <v>0.25624999999999998</v>
      </c>
      <c r="P119">
        <f t="shared" si="3"/>
        <v>3</v>
      </c>
    </row>
    <row r="120" spans="1:16" outlineLevel="1" x14ac:dyDescent="0.25">
      <c r="B120" s="15" t="s">
        <v>289</v>
      </c>
      <c r="F120" s="2" t="s">
        <v>63</v>
      </c>
      <c r="G120" t="str">
        <f>_xlfn.XLOOKUP(Indented_BoM[[#This Row],[Part Number]], Catalogue_Components[Part Number], Catalogue_Components[Descriptive Name], "Component not found!")</f>
        <v>Frame Inside Width (L = 275 mm)</v>
      </c>
      <c r="H120" t="str">
        <f>_xlfn.XLOOKUP(Indented_BoM[[#This Row],[Part Number]], Catalogue_Components[Part Number], Catalogue_Components[Manufacturer], "-")</f>
        <v>item</v>
      </c>
      <c r="I120" s="16">
        <v>2</v>
      </c>
      <c r="J120" s="16">
        <f>Indented_BoM[[#This Row],[Part]]*$J$114</f>
        <v>2</v>
      </c>
      <c r="K120" s="21">
        <f>_xlfn.XLOOKUP(Indented_BoM[[#This Row],[Part Number]], Catalogue_Components[Part Number], Catalogue_Components[Price Per Unit], "")</f>
        <v>8.4830000000000005</v>
      </c>
      <c r="L120" s="20">
        <f>_xlfn.XLOOKUP(Indented_BoM[[#This Row],[Part Number]], Catalogue_Components[Part Number], Catalogue_Components[Print Time], "")</f>
        <v>0</v>
      </c>
      <c r="M120" s="14"/>
      <c r="N120" s="22">
        <f>Indented_BoM[[#This Row],[Part '[CHF']]]*Indented_BoM[[#This Row],[Total]]</f>
        <v>16.966000000000001</v>
      </c>
      <c r="O120" s="20">
        <f>Indented_BoM[[#This Row],[Total]]*Indented_BoM[[#This Row],[Part '[hh:mm']]]</f>
        <v>0</v>
      </c>
      <c r="P120">
        <f t="shared" si="3"/>
        <v>2</v>
      </c>
    </row>
    <row r="121" spans="1:16" outlineLevel="1" x14ac:dyDescent="0.25">
      <c r="B121" s="15" t="s">
        <v>289</v>
      </c>
      <c r="F121" s="2" t="s">
        <v>206</v>
      </c>
      <c r="G121" t="str">
        <f>_xlfn.XLOOKUP(Indented_BoM[[#This Row],[Part Number]], Catalogue_Components[Part Number], Catalogue_Components[Descriptive Name], "Component not found!")</f>
        <v>item PlatformClip Platform Adapter</v>
      </c>
      <c r="H121" t="str">
        <f>_xlfn.XLOOKUP(Indented_BoM[[#This Row],[Part Number]], Catalogue_Components[Part Number], Catalogue_Components[Manufacturer], "-")</f>
        <v>Custom</v>
      </c>
      <c r="I121" s="16">
        <v>2</v>
      </c>
      <c r="J121" s="16">
        <f>Indented_BoM[[#This Row],[Part]]*$J$114</f>
        <v>2</v>
      </c>
      <c r="K121" s="21">
        <f>_xlfn.XLOOKUP(Indented_BoM[[#This Row],[Part Number]], Catalogue_Components[Part Number], Catalogue_Components[Price Per Unit], "")</f>
        <v>0</v>
      </c>
      <c r="L121" s="20">
        <f>_xlfn.XLOOKUP(Indented_BoM[[#This Row],[Part Number]], Catalogue_Components[Part Number], Catalogue_Components[Print Time], "")</f>
        <v>1.8749999999999999E-2</v>
      </c>
      <c r="M121" s="14"/>
      <c r="N121" s="22">
        <f>Indented_BoM[[#This Row],[Part '[CHF']]]*Indented_BoM[[#This Row],[Total]]</f>
        <v>0</v>
      </c>
      <c r="O121" s="20">
        <f>Indented_BoM[[#This Row],[Total]]*Indented_BoM[[#This Row],[Part '[hh:mm']]]</f>
        <v>3.7499999999999999E-2</v>
      </c>
      <c r="P121">
        <f t="shared" si="3"/>
        <v>2</v>
      </c>
    </row>
    <row r="122" spans="1:16" outlineLevel="1" x14ac:dyDescent="0.25">
      <c r="B122" s="15" t="s">
        <v>289</v>
      </c>
      <c r="F122" s="2" t="s">
        <v>207</v>
      </c>
      <c r="G122" t="str">
        <f>_xlfn.XLOOKUP(Indented_BoM[[#This Row],[Part Number]], Catalogue_Components[Part Number], Catalogue_Components[Descriptive Name], "Component not found!")</f>
        <v>item PlatformClip Platform Adapter Mirrored</v>
      </c>
      <c r="H122" t="str">
        <f>_xlfn.XLOOKUP(Indented_BoM[[#This Row],[Part Number]], Catalogue_Components[Part Number], Catalogue_Components[Manufacturer], "-")</f>
        <v>Custom</v>
      </c>
      <c r="I122" s="16">
        <v>2</v>
      </c>
      <c r="J122" s="16">
        <f>Indented_BoM[[#This Row],[Part]]*$J$114</f>
        <v>2</v>
      </c>
      <c r="K122" s="21">
        <f>_xlfn.XLOOKUP(Indented_BoM[[#This Row],[Part Number]], Catalogue_Components[Part Number], Catalogue_Components[Price Per Unit], "")</f>
        <v>0</v>
      </c>
      <c r="L122" s="20">
        <f>_xlfn.XLOOKUP(Indented_BoM[[#This Row],[Part Number]], Catalogue_Components[Part Number], Catalogue_Components[Print Time], "")</f>
        <v>1.8749999999999999E-2</v>
      </c>
      <c r="M122" s="14"/>
      <c r="N122" s="22">
        <f>Indented_BoM[[#This Row],[Part '[CHF']]]*Indented_BoM[[#This Row],[Total]]</f>
        <v>0</v>
      </c>
      <c r="O122" s="20">
        <f>Indented_BoM[[#This Row],[Total]]*Indented_BoM[[#This Row],[Part '[hh:mm']]]</f>
        <v>3.7499999999999999E-2</v>
      </c>
      <c r="P122">
        <f t="shared" si="3"/>
        <v>2</v>
      </c>
    </row>
    <row r="123" spans="1:16" x14ac:dyDescent="0.25">
      <c r="A123" s="15" t="s">
        <v>289</v>
      </c>
      <c r="F123" s="2" t="s">
        <v>310</v>
      </c>
      <c r="G123" t="str">
        <f>_xlfn.XLOOKUP(Indented_BoM[[#This Row],[Part Number]], Catalogue_Components[Part Number], Catalogue_Components[Descriptive Name], "Component not found!")</f>
        <v>Propulsion Assembly</v>
      </c>
      <c r="H123" t="str">
        <f>_xlfn.XLOOKUP(Indented_BoM[[#This Row],[Part Number]], Catalogue_Components[Part Number], Catalogue_Components[Manufacturer], "-")</f>
        <v>Custom</v>
      </c>
      <c r="I123" s="16">
        <v>3</v>
      </c>
      <c r="J123" s="16">
        <f>Indented_BoM[[#This Row],[Part]]</f>
        <v>3</v>
      </c>
      <c r="K123" s="21">
        <f>_xlfn.XLOOKUP(Indented_BoM[[#This Row],[Part Number]], Catalogue_Components[Part Number], Catalogue_Components[Price Per Unit], "")</f>
        <v>0</v>
      </c>
      <c r="L123" s="20">
        <f>_xlfn.XLOOKUP(Indented_BoM[[#This Row],[Part Number]], Catalogue_Components[Part Number], Catalogue_Components[Print Time], "")</f>
        <v>0</v>
      </c>
      <c r="M123" s="14"/>
      <c r="N123" s="22">
        <f>Indented_BoM[[#This Row],[Total]]*Indented_BoM[[#This Row],[Part '[CHF']]]+SUM(N124:N131)</f>
        <v>254.78999999999996</v>
      </c>
      <c r="O123" s="20">
        <f>Indented_BoM[[#This Row],[Part '[hh:mm']]]*Indented_BoM[[#This Row],[Total]]+SUMIF(P124:P131,Indented_BoM[[#This Row],[Assy-Lvl]]+1,O124:O131)</f>
        <v>0.10416666666666667</v>
      </c>
      <c r="P123">
        <f t="shared" si="3"/>
        <v>1</v>
      </c>
    </row>
    <row r="124" spans="1:16" outlineLevel="1" x14ac:dyDescent="0.25">
      <c r="B124" s="15" t="s">
        <v>289</v>
      </c>
      <c r="F124" s="2" t="s">
        <v>253</v>
      </c>
      <c r="G124" t="str">
        <f>_xlfn.XLOOKUP(Indented_BoM[[#This Row],[Part Number]], Catalogue_Components[Part Number], Catalogue_Components[Descriptive Name], "Component not found!")</f>
        <v>Connector Structure</v>
      </c>
      <c r="H124" t="str">
        <f>_xlfn.XLOOKUP(Indented_BoM[[#This Row],[Part Number]], Catalogue_Components[Part Number], Catalogue_Components[Manufacturer], "-")</f>
        <v>Custom</v>
      </c>
      <c r="I124" s="16">
        <v>1</v>
      </c>
      <c r="J124" s="16">
        <f>Indented_BoM[[#This Row],[Part]]*$J$123</f>
        <v>3</v>
      </c>
      <c r="K124" s="21">
        <f>_xlfn.XLOOKUP(Indented_BoM[[#This Row],[Part Number]], Catalogue_Components[Part Number], Catalogue_Components[Price Per Unit], "")</f>
        <v>0</v>
      </c>
      <c r="L124" s="20">
        <f>_xlfn.XLOOKUP(Indented_BoM[[#This Row],[Part Number]], Catalogue_Components[Part Number], Catalogue_Components[Print Time], "")</f>
        <v>1.4583333333333334E-2</v>
      </c>
      <c r="M124" s="14"/>
      <c r="N124" s="22">
        <f>Indented_BoM[[#This Row],[Part '[CHF']]]*Indented_BoM[[#This Row],[Total]]</f>
        <v>0</v>
      </c>
      <c r="O124" s="20">
        <f>Indented_BoM[[#This Row],[Total]]*Indented_BoM[[#This Row],[Part '[hh:mm']]]</f>
        <v>4.3749999999999997E-2</v>
      </c>
      <c r="P124">
        <f t="shared" si="3"/>
        <v>2</v>
      </c>
    </row>
    <row r="125" spans="1:16" outlineLevel="1" x14ac:dyDescent="0.25">
      <c r="B125" s="15" t="s">
        <v>289</v>
      </c>
      <c r="F125" s="2" t="s">
        <v>186</v>
      </c>
      <c r="G125" t="str">
        <f>_xlfn.XLOOKUP(Indented_BoM[[#This Row],[Part Number]], Catalogue_Components[Part Number], Catalogue_Components[Descriptive Name], "Component not found!")</f>
        <v>Electric Motor</v>
      </c>
      <c r="H125" t="str">
        <f>_xlfn.XLOOKUP(Indented_BoM[[#This Row],[Part Number]], Catalogue_Components[Part Number], Catalogue_Components[Manufacturer], "-")</f>
        <v xml:space="preserve">MyActuator </v>
      </c>
      <c r="I125" s="16">
        <v>1</v>
      </c>
      <c r="J125" s="16">
        <f>Indented_BoM[[#This Row],[Part]]*$J$123</f>
        <v>3</v>
      </c>
      <c r="K125" s="21">
        <f>_xlfn.XLOOKUP(Indented_BoM[[#This Row],[Part Number]], Catalogue_Components[Part Number], Catalogue_Components[Price Per Unit], "")</f>
        <v>67.069999999999993</v>
      </c>
      <c r="L125" s="20">
        <f>_xlfn.XLOOKUP(Indented_BoM[[#This Row],[Part Number]], Catalogue_Components[Part Number], Catalogue_Components[Print Time], "")</f>
        <v>0</v>
      </c>
      <c r="M125" s="14"/>
      <c r="N125" s="22">
        <f>Indented_BoM[[#This Row],[Part '[CHF']]]*Indented_BoM[[#This Row],[Total]]</f>
        <v>201.20999999999998</v>
      </c>
      <c r="O125" s="20">
        <f>Indented_BoM[[#This Row],[Total]]*Indented_BoM[[#This Row],[Part '[hh:mm']]]</f>
        <v>0</v>
      </c>
      <c r="P125">
        <f t="shared" si="3"/>
        <v>2</v>
      </c>
    </row>
    <row r="126" spans="1:16" outlineLevel="1" x14ac:dyDescent="0.25">
      <c r="B126" s="15" t="s">
        <v>289</v>
      </c>
      <c r="F126" s="2" t="s">
        <v>254</v>
      </c>
      <c r="G126" t="str">
        <f>_xlfn.XLOOKUP(Indented_BoM[[#This Row],[Part Number]], Catalogue_Components[Part Number], Catalogue_Components[Descriptive Name], "Component not found!")</f>
        <v>Motor Magnet Holder</v>
      </c>
      <c r="H126" t="str">
        <f>_xlfn.XLOOKUP(Indented_BoM[[#This Row],[Part Number]], Catalogue_Components[Part Number], Catalogue_Components[Manufacturer], "-")</f>
        <v>Custom</v>
      </c>
      <c r="I126" s="16">
        <v>1</v>
      </c>
      <c r="J126" s="16">
        <f>Indented_BoM[[#This Row],[Part]]*$J$123</f>
        <v>3</v>
      </c>
      <c r="K126" s="21">
        <f>_xlfn.XLOOKUP(Indented_BoM[[#This Row],[Part Number]], Catalogue_Components[Part Number], Catalogue_Components[Price Per Unit], "")</f>
        <v>0</v>
      </c>
      <c r="L126" s="20">
        <f>_xlfn.XLOOKUP(Indented_BoM[[#This Row],[Part Number]], Catalogue_Components[Part Number], Catalogue_Components[Print Time], "")</f>
        <v>2.013888888888889E-2</v>
      </c>
      <c r="M126" s="14"/>
      <c r="N126" s="22">
        <f>Indented_BoM[[#This Row],[Part '[CHF']]]*Indented_BoM[[#This Row],[Total]]</f>
        <v>0</v>
      </c>
      <c r="O126" s="20">
        <f>Indented_BoM[[#This Row],[Total]]*Indented_BoM[[#This Row],[Part '[hh:mm']]]</f>
        <v>6.0416666666666674E-2</v>
      </c>
      <c r="P126">
        <f t="shared" si="3"/>
        <v>2</v>
      </c>
    </row>
    <row r="127" spans="1:16" outlineLevel="1" x14ac:dyDescent="0.25">
      <c r="B127" s="15" t="s">
        <v>289</v>
      </c>
      <c r="F127" s="2" t="s">
        <v>11</v>
      </c>
      <c r="G127" t="str">
        <f>_xlfn.XLOOKUP(Indented_BoM[[#This Row],[Part Number]], Catalogue_Components[Part Number], Catalogue_Components[Descriptive Name], "Component not found!")</f>
        <v>Ball Bearing Axial</v>
      </c>
      <c r="H127" t="str">
        <f>_xlfn.XLOOKUP(Indented_BoM[[#This Row],[Part Number]], Catalogue_Components[Part Number], Catalogue_Components[Manufacturer], "-")</f>
        <v>igus</v>
      </c>
      <c r="I127" s="16">
        <v>1</v>
      </c>
      <c r="J127" s="16">
        <f>Indented_BoM[[#This Row],[Part]]*$J$123</f>
        <v>3</v>
      </c>
      <c r="K127" s="21">
        <f>_xlfn.XLOOKUP(Indented_BoM[[#This Row],[Part Number]], Catalogue_Components[Part Number], Catalogue_Components[Price Per Unit], "")</f>
        <v>3</v>
      </c>
      <c r="L127" s="20">
        <f>_xlfn.XLOOKUP(Indented_BoM[[#This Row],[Part Number]], Catalogue_Components[Part Number], Catalogue_Components[Print Time], "")</f>
        <v>0</v>
      </c>
      <c r="M127" s="14"/>
      <c r="N127" s="22">
        <f>Indented_BoM[[#This Row],[Part '[CHF']]]*Indented_BoM[[#This Row],[Total]]</f>
        <v>9</v>
      </c>
      <c r="O127" s="20">
        <f>Indented_BoM[[#This Row],[Total]]*Indented_BoM[[#This Row],[Part '[hh:mm']]]</f>
        <v>0</v>
      </c>
      <c r="P127">
        <f t="shared" si="3"/>
        <v>2</v>
      </c>
    </row>
    <row r="128" spans="1:16" outlineLevel="1" x14ac:dyDescent="0.25">
      <c r="B128" s="15" t="s">
        <v>289</v>
      </c>
      <c r="F128" s="2" t="s">
        <v>32</v>
      </c>
      <c r="G128" t="str">
        <f>_xlfn.XLOOKUP(Indented_BoM[[#This Row],[Part Number]], Catalogue_Components[Part Number], Catalogue_Components[Descriptive Name], "Component not found!")</f>
        <v>Thrust Washer</v>
      </c>
      <c r="H128" t="str">
        <f>_xlfn.XLOOKUP(Indented_BoM[[#This Row],[Part Number]], Catalogue_Components[Part Number], Catalogue_Components[Manufacturer], "-")</f>
        <v>igus</v>
      </c>
      <c r="I128" s="16">
        <v>1</v>
      </c>
      <c r="J128" s="16">
        <f>Indented_BoM[[#This Row],[Part]]*$J$123</f>
        <v>3</v>
      </c>
      <c r="K128" s="21">
        <f>_xlfn.XLOOKUP(Indented_BoM[[#This Row],[Part Number]], Catalogue_Components[Part Number], Catalogue_Components[Price Per Unit], "")</f>
        <v>6.58</v>
      </c>
      <c r="L128" s="20">
        <f>_xlfn.XLOOKUP(Indented_BoM[[#This Row],[Part Number]], Catalogue_Components[Part Number], Catalogue_Components[Print Time], "")</f>
        <v>0</v>
      </c>
      <c r="M128" s="14"/>
      <c r="N128" s="22">
        <f>Indented_BoM[[#This Row],[Part '[CHF']]]*Indented_BoM[[#This Row],[Total]]</f>
        <v>19.740000000000002</v>
      </c>
      <c r="O128" s="20">
        <f>Indented_BoM[[#This Row],[Total]]*Indented_BoM[[#This Row],[Part '[hh:mm']]]</f>
        <v>0</v>
      </c>
      <c r="P128">
        <f t="shared" si="3"/>
        <v>2</v>
      </c>
    </row>
    <row r="129" spans="1:16" outlineLevel="1" x14ac:dyDescent="0.25">
      <c r="B129" s="15" t="s">
        <v>289</v>
      </c>
      <c r="F129" s="2" t="s">
        <v>219</v>
      </c>
      <c r="G129" t="str">
        <f>_xlfn.XLOOKUP(Indented_BoM[[#This Row],[Part Number]], Catalogue_Components[Part Number], Catalogue_Components[Descriptive Name], "Component not found!")</f>
        <v>M2.5x5 Hex Socket Screw</v>
      </c>
      <c r="H129" t="str">
        <f>_xlfn.XLOOKUP(Indented_BoM[[#This Row],[Part Number]], Catalogue_Components[Part Number], Catalogue_Components[Manufacturer], "-")</f>
        <v>Bossard</v>
      </c>
      <c r="I129" s="16">
        <v>4</v>
      </c>
      <c r="J129" s="16">
        <f>Indented_BoM[[#This Row],[Part]]*$J$123</f>
        <v>12</v>
      </c>
      <c r="K129" s="21">
        <f>_xlfn.XLOOKUP(Indented_BoM[[#This Row],[Part Number]], Catalogue_Components[Part Number], Catalogue_Components[Price Per Unit], "")</f>
        <v>0.157</v>
      </c>
      <c r="L129" s="20">
        <f>_xlfn.XLOOKUP(Indented_BoM[[#This Row],[Part Number]], Catalogue_Components[Part Number], Catalogue_Components[Print Time], "")</f>
        <v>0</v>
      </c>
      <c r="M129" s="14"/>
      <c r="N129" s="22">
        <f>Indented_BoM[[#This Row],[Part '[CHF']]]*Indented_BoM[[#This Row],[Total]]</f>
        <v>1.8839999999999999</v>
      </c>
      <c r="O129" s="20">
        <f>Indented_BoM[[#This Row],[Total]]*Indented_BoM[[#This Row],[Part '[hh:mm']]]</f>
        <v>0</v>
      </c>
      <c r="P129">
        <f t="shared" si="3"/>
        <v>2</v>
      </c>
    </row>
    <row r="130" spans="1:16" outlineLevel="1" x14ac:dyDescent="0.25">
      <c r="B130" s="15" t="s">
        <v>289</v>
      </c>
      <c r="F130" s="2" t="s">
        <v>16</v>
      </c>
      <c r="G130" t="str">
        <f>_xlfn.XLOOKUP(Indented_BoM[[#This Row],[Part Number]], Catalogue_Components[Part Number], Catalogue_Components[Descriptive Name], "Component not found!")</f>
        <v>M3x8 Screw Hex Socket</v>
      </c>
      <c r="H130" t="str">
        <f>_xlfn.XLOOKUP(Indented_BoM[[#This Row],[Part Number]], Catalogue_Components[Part Number], Catalogue_Components[Manufacturer], "-")</f>
        <v>Bossard</v>
      </c>
      <c r="I130" s="16">
        <v>4</v>
      </c>
      <c r="J130" s="16">
        <f>Indented_BoM[[#This Row],[Part]]*$J$123</f>
        <v>12</v>
      </c>
      <c r="K130" s="21">
        <f>_xlfn.XLOOKUP(Indented_BoM[[#This Row],[Part Number]], Catalogue_Components[Part Number], Catalogue_Components[Price Per Unit], "")</f>
        <v>0.188</v>
      </c>
      <c r="L130" s="20">
        <f>_xlfn.XLOOKUP(Indented_BoM[[#This Row],[Part Number]], Catalogue_Components[Part Number], Catalogue_Components[Print Time], "")</f>
        <v>0</v>
      </c>
      <c r="M130" s="14"/>
      <c r="N130" s="22">
        <f>Indented_BoM[[#This Row],[Part '[CHF']]]*Indented_BoM[[#This Row],[Total]]</f>
        <v>2.2560000000000002</v>
      </c>
      <c r="O130" s="20">
        <f>Indented_BoM[[#This Row],[Total]]*Indented_BoM[[#This Row],[Part '[hh:mm']]]</f>
        <v>0</v>
      </c>
      <c r="P130">
        <f t="shared" si="3"/>
        <v>2</v>
      </c>
    </row>
    <row r="131" spans="1:16" outlineLevel="1" x14ac:dyDescent="0.25">
      <c r="B131" s="15" t="s">
        <v>289</v>
      </c>
      <c r="F131" s="2" t="s">
        <v>28</v>
      </c>
      <c r="G131" t="str">
        <f>_xlfn.XLOOKUP(Indented_BoM[[#This Row],[Part Number]], Catalogue_Components[Part Number], Catalogue_Components[Descriptive Name], "Component not found!")</f>
        <v>Magnet Cylinder</v>
      </c>
      <c r="H131" t="str">
        <f>_xlfn.XLOOKUP(Indented_BoM[[#This Row],[Part Number]], Catalogue_Components[Part Number], Catalogue_Components[Manufacturer], "-")</f>
        <v>supermagnete</v>
      </c>
      <c r="I131" s="16">
        <v>10</v>
      </c>
      <c r="J131" s="16">
        <f>Indented_BoM[[#This Row],[Part]]*$J$123</f>
        <v>30</v>
      </c>
      <c r="K131" s="21">
        <f>_xlfn.XLOOKUP(Indented_BoM[[#This Row],[Part Number]], Catalogue_Components[Part Number], Catalogue_Components[Price Per Unit], "")</f>
        <v>0.69</v>
      </c>
      <c r="L131" s="20">
        <f>_xlfn.XLOOKUP(Indented_BoM[[#This Row],[Part Number]], Catalogue_Components[Part Number], Catalogue_Components[Print Time], "")</f>
        <v>0</v>
      </c>
      <c r="M131" s="14"/>
      <c r="N131" s="22">
        <f>Indented_BoM[[#This Row],[Part '[CHF']]]*Indented_BoM[[#This Row],[Total]]</f>
        <v>20.7</v>
      </c>
      <c r="O131" s="20">
        <f>Indented_BoM[[#This Row],[Total]]*Indented_BoM[[#This Row],[Part '[hh:mm']]]</f>
        <v>0</v>
      </c>
      <c r="P131">
        <f t="shared" ref="P131:P162" si="4">MATCH("x",A131:E131,0)</f>
        <v>2</v>
      </c>
    </row>
    <row r="132" spans="1:16" x14ac:dyDescent="0.25">
      <c r="A132" s="15" t="s">
        <v>289</v>
      </c>
      <c r="F132" s="2" t="s">
        <v>311</v>
      </c>
      <c r="G132" t="str">
        <f>_xlfn.XLOOKUP(Indented_BoM[[#This Row],[Part Number]], Catalogue_Components[Part Number], Catalogue_Components[Descriptive Name], "Component not found!")</f>
        <v>Electronics Box Assembly</v>
      </c>
      <c r="H132" t="str">
        <f>_xlfn.XLOOKUP(Indented_BoM[[#This Row],[Part Number]], Catalogue_Components[Part Number], Catalogue_Components[Manufacturer], "-")</f>
        <v>Custom</v>
      </c>
      <c r="I132" s="16">
        <v>1</v>
      </c>
      <c r="J132" s="16">
        <f>Indented_BoM[[#This Row],[Part]]</f>
        <v>1</v>
      </c>
      <c r="K132" s="21">
        <f>_xlfn.XLOOKUP(Indented_BoM[[#This Row],[Part Number]], Catalogue_Components[Part Number], Catalogue_Components[Price Per Unit], "")</f>
        <v>0</v>
      </c>
      <c r="L132" s="20">
        <f>_xlfn.XLOOKUP(Indented_BoM[[#This Row],[Part Number]], Catalogue_Components[Part Number], Catalogue_Components[Print Time], "")</f>
        <v>0</v>
      </c>
      <c r="M132" s="14"/>
      <c r="N132" s="22">
        <f>Indented_BoM[[#This Row],[Part '[CHF']]]*Indented_BoM[[#This Row],[Total]]+SUMIF(P133:P168,Indented_BoM[[#This Row],[Assy-Lvl]]+1,N133:N168)</f>
        <v>1312.3790000000001</v>
      </c>
      <c r="O132" s="20">
        <f>Indented_BoM[[#This Row],[Part '[hh:mm']]]*Indented_BoM[[#This Row],[Total]]+SUMIF(P133:P168,Indented_BoM[[#This Row],[Assy-Lvl]]+1,O133:O168)</f>
        <v>0.15972222222222221</v>
      </c>
      <c r="P132">
        <f t="shared" si="4"/>
        <v>1</v>
      </c>
    </row>
    <row r="133" spans="1:16" outlineLevel="1" x14ac:dyDescent="0.25">
      <c r="B133" s="15" t="s">
        <v>289</v>
      </c>
      <c r="F133" s="2" t="s">
        <v>312</v>
      </c>
      <c r="G133" t="str">
        <f>_xlfn.XLOOKUP(Indented_BoM[[#This Row],[Part Number]], Catalogue_Components[Part Number], Catalogue_Components[Descriptive Name], "Component not found!")</f>
        <v>Connectors Plate</v>
      </c>
      <c r="H133" t="str">
        <f>_xlfn.XLOOKUP(Indented_BoM[[#This Row],[Part Number]], Catalogue_Components[Part Number], Catalogue_Components[Manufacturer], "-")</f>
        <v>Custom</v>
      </c>
      <c r="I133" s="16">
        <v>1</v>
      </c>
      <c r="J133" s="16">
        <f>Indented_BoM[[#This Row],[Part]]*J132</f>
        <v>1</v>
      </c>
      <c r="K133" s="21">
        <f>_xlfn.XLOOKUP(Indented_BoM[[#This Row],[Part Number]], Catalogue_Components[Part Number], Catalogue_Components[Price Per Unit], "")</f>
        <v>0</v>
      </c>
      <c r="L133" s="20">
        <f>_xlfn.XLOOKUP(Indented_BoM[[#This Row],[Part Number]], Catalogue_Components[Part Number], Catalogue_Components[Print Time], "")</f>
        <v>0</v>
      </c>
      <c r="M133" s="14"/>
      <c r="N133" s="22">
        <f>Indented_BoM[[#This Row],[Part '[CHF']]]*Indented_BoM[[#This Row],[Total]]+SUMIF(P134:P144,Indented_BoM[[#This Row],[Assy-Lvl]]+1,N134:N144)</f>
        <v>540.904</v>
      </c>
      <c r="O133" s="20">
        <f>Indented_BoM[[#This Row],[Part '[hh:mm']]]*Indented_BoM[[#This Row],[Total]]+SUMIF(P134:P144,Indented_BoM[[#This Row],[Assy-Lvl]]+1,O134:O144)</f>
        <v>8.7499999999999994E-2</v>
      </c>
      <c r="P133">
        <f t="shared" si="4"/>
        <v>2</v>
      </c>
    </row>
    <row r="134" spans="1:16" outlineLevel="1" x14ac:dyDescent="0.25">
      <c r="C134" s="15" t="s">
        <v>289</v>
      </c>
      <c r="F134" s="2" t="s">
        <v>317</v>
      </c>
      <c r="G134" t="str">
        <f>_xlfn.XLOOKUP(Indented_BoM[[#This Row],[Part Number]], Catalogue_Components[Part Number], Catalogue_Components[Descriptive Name], "Component not found!")</f>
        <v>Connector AC Power</v>
      </c>
      <c r="H134" t="str">
        <f>_xlfn.XLOOKUP(Indented_BoM[[#This Row],[Part Number]], Catalogue_Components[Part Number], Catalogue_Components[Manufacturer], "-")</f>
        <v>Schurter</v>
      </c>
      <c r="I134" s="16">
        <v>1</v>
      </c>
      <c r="J134" s="16">
        <f>Indented_BoM[[#This Row],[Part]]*$J$133</f>
        <v>1</v>
      </c>
      <c r="K134" s="21">
        <f>_xlfn.XLOOKUP(Indented_BoM[[#This Row],[Part Number]], Catalogue_Components[Part Number], Catalogue_Components[Price Per Unit], "")</f>
        <v>18.3</v>
      </c>
      <c r="L134" s="20">
        <f>_xlfn.XLOOKUP(Indented_BoM[[#This Row],[Part Number]], Catalogue_Components[Part Number], Catalogue_Components[Print Time], "")</f>
        <v>0</v>
      </c>
      <c r="M134" s="14"/>
      <c r="N134" s="22">
        <f>Indented_BoM[[#This Row],[Part '[CHF']]]*Indented_BoM[[#This Row],[Total]]</f>
        <v>18.3</v>
      </c>
      <c r="O134" s="20">
        <f>IF(L134="", "", Indented_BoM[[#This Row],[Part '[hh:mm']]]*Indented_BoM[[#This Row],[Total]])</f>
        <v>0</v>
      </c>
      <c r="P134">
        <f t="shared" si="4"/>
        <v>3</v>
      </c>
    </row>
    <row r="135" spans="1:16" outlineLevel="1" x14ac:dyDescent="0.25">
      <c r="C135" s="15" t="s">
        <v>289</v>
      </c>
      <c r="F135" s="2" t="s">
        <v>318</v>
      </c>
      <c r="G135" t="str">
        <f>_xlfn.XLOOKUP(Indented_BoM[[#This Row],[Part Number]], Catalogue_Components[Part Number], Catalogue_Components[Descriptive Name], "Component not found!")</f>
        <v xml:space="preserve">Panel LED Green </v>
      </c>
      <c r="H135" t="str">
        <f>_xlfn.XLOOKUP(Indented_BoM[[#This Row],[Part Number]], Catalogue_Components[Part Number], Catalogue_Components[Manufacturer], "-")</f>
        <v>VCC</v>
      </c>
      <c r="I135" s="16">
        <v>1</v>
      </c>
      <c r="J135" s="16">
        <f>Indented_BoM[[#This Row],[Part]]*$J$133</f>
        <v>1</v>
      </c>
      <c r="K135" s="21">
        <f>_xlfn.XLOOKUP(Indented_BoM[[#This Row],[Part Number]], Catalogue_Components[Part Number], Catalogue_Components[Price Per Unit], "")</f>
        <v>9.85</v>
      </c>
      <c r="L135" s="20">
        <f>_xlfn.XLOOKUP(Indented_BoM[[#This Row],[Part Number]], Catalogue_Components[Part Number], Catalogue_Components[Print Time], "")</f>
        <v>0</v>
      </c>
      <c r="M135" s="14"/>
      <c r="N135" s="22">
        <f>Indented_BoM[[#This Row],[Part '[CHF']]]*Indented_BoM[[#This Row],[Total]]</f>
        <v>9.85</v>
      </c>
      <c r="O135" s="20">
        <f>IF(L135="", "", Indented_BoM[[#This Row],[Part '[hh:mm']]]*Indented_BoM[[#This Row],[Total]])</f>
        <v>0</v>
      </c>
      <c r="P135">
        <f t="shared" si="4"/>
        <v>3</v>
      </c>
    </row>
    <row r="136" spans="1:16" outlineLevel="1" x14ac:dyDescent="0.25">
      <c r="C136" s="15" t="s">
        <v>289</v>
      </c>
      <c r="F136" s="2" t="s">
        <v>319</v>
      </c>
      <c r="G136" t="str">
        <f>_xlfn.XLOOKUP(Indented_BoM[[#This Row],[Part Number]], Catalogue_Components[Part Number], Catalogue_Components[Descriptive Name], "Component not found!")</f>
        <v xml:space="preserve">Panel LED Red  </v>
      </c>
      <c r="H136" t="str">
        <f>_xlfn.XLOOKUP(Indented_BoM[[#This Row],[Part Number]], Catalogue_Components[Part Number], Catalogue_Components[Manufacturer], "-")</f>
        <v>VCC</v>
      </c>
      <c r="I136" s="16">
        <v>1</v>
      </c>
      <c r="J136" s="16">
        <f>Indented_BoM[[#This Row],[Part]]*$J$133</f>
        <v>1</v>
      </c>
      <c r="K136" s="21">
        <f>_xlfn.XLOOKUP(Indented_BoM[[#This Row],[Part Number]], Catalogue_Components[Part Number], Catalogue_Components[Price Per Unit], "")</f>
        <v>9.85</v>
      </c>
      <c r="L136" s="20">
        <f>_xlfn.XLOOKUP(Indented_BoM[[#This Row],[Part Number]], Catalogue_Components[Part Number], Catalogue_Components[Print Time], "")</f>
        <v>0</v>
      </c>
      <c r="M136" s="14"/>
      <c r="N136" s="22">
        <f>Indented_BoM[[#This Row],[Part '[CHF']]]*Indented_BoM[[#This Row],[Total]]</f>
        <v>9.85</v>
      </c>
      <c r="O136" s="20">
        <f>IF(L136="", "", Indented_BoM[[#This Row],[Part '[hh:mm']]]*Indented_BoM[[#This Row],[Total]])</f>
        <v>0</v>
      </c>
      <c r="P136">
        <f t="shared" si="4"/>
        <v>3</v>
      </c>
    </row>
    <row r="137" spans="1:16" outlineLevel="1" x14ac:dyDescent="0.25">
      <c r="C137" s="15" t="s">
        <v>289</v>
      </c>
      <c r="F137" s="2">
        <v>4259</v>
      </c>
      <c r="G137" t="str">
        <f>_xlfn.XLOOKUP(Indented_BoM[[#This Row],[Part Number]], Catalogue_Components[Part Number], Catalogue_Components[Descriptive Name], "Component not found!")</f>
        <v>USB C Panel Connector</v>
      </c>
      <c r="H137" t="str">
        <f>_xlfn.XLOOKUP(Indented_BoM[[#This Row],[Part Number]], Catalogue_Components[Part Number], Catalogue_Components[Manufacturer], "-")</f>
        <v>Adafruit</v>
      </c>
      <c r="I137" s="16">
        <v>1</v>
      </c>
      <c r="J137" s="16">
        <f>Indented_BoM[[#This Row],[Part]]*$J$133</f>
        <v>1</v>
      </c>
      <c r="K137" s="21">
        <f>_xlfn.XLOOKUP(Indented_BoM[[#This Row],[Part Number]], Catalogue_Components[Part Number], Catalogue_Components[Price Per Unit], "")</f>
        <v>4.6500000000000004</v>
      </c>
      <c r="L137" s="20">
        <f>_xlfn.XLOOKUP(Indented_BoM[[#This Row],[Part Number]], Catalogue_Components[Part Number], Catalogue_Components[Print Time], "")</f>
        <v>0</v>
      </c>
      <c r="M137" s="14"/>
      <c r="N137" s="22">
        <f>Indented_BoM[[#This Row],[Part '[CHF']]]*Indented_BoM[[#This Row],[Total]]</f>
        <v>4.6500000000000004</v>
      </c>
      <c r="O137" s="20">
        <f>IF(L137="", "", Indented_BoM[[#This Row],[Part '[hh:mm']]]*Indented_BoM[[#This Row],[Total]])</f>
        <v>0</v>
      </c>
      <c r="P137">
        <f t="shared" si="4"/>
        <v>3</v>
      </c>
    </row>
    <row r="138" spans="1:16" outlineLevel="1" x14ac:dyDescent="0.25">
      <c r="C138" s="15" t="s">
        <v>289</v>
      </c>
      <c r="F138" s="2" t="s">
        <v>249</v>
      </c>
      <c r="G138" t="str">
        <f>_xlfn.XLOOKUP(Indented_BoM[[#This Row],[Part Number]], Catalogue_Components[Part Number], Catalogue_Components[Descriptive Name], "Component not found!")</f>
        <v>TorqueAmp Holder</v>
      </c>
      <c r="H138" t="str">
        <f>_xlfn.XLOOKUP(Indented_BoM[[#This Row],[Part Number]], Catalogue_Components[Part Number], Catalogue_Components[Manufacturer], "-")</f>
        <v>Custom</v>
      </c>
      <c r="I138" s="16">
        <v>1</v>
      </c>
      <c r="J138" s="16">
        <f>Indented_BoM[[#This Row],[Part]]*$J$133</f>
        <v>1</v>
      </c>
      <c r="K138" s="21">
        <f>_xlfn.XLOOKUP(Indented_BoM[[#This Row],[Part Number]], Catalogue_Components[Part Number], Catalogue_Components[Price Per Unit], "")</f>
        <v>0</v>
      </c>
      <c r="L138" s="20">
        <f>_xlfn.XLOOKUP(Indented_BoM[[#This Row],[Part Number]], Catalogue_Components[Part Number], Catalogue_Components[Print Time], "")</f>
        <v>4.3055555555555555E-2</v>
      </c>
      <c r="M138" s="14"/>
      <c r="N138" s="22">
        <f>Indented_BoM[[#This Row],[Total]]*Indented_BoM[[#This Row],[Part '[CHF']]]+SUM(N139:N140)</f>
        <v>497.48</v>
      </c>
      <c r="O138" s="20">
        <f>IF(L138="", "", Indented_BoM[[#This Row],[Part '[hh:mm']]]*Indented_BoM[[#This Row],[Total]])</f>
        <v>4.3055555555555555E-2</v>
      </c>
      <c r="P138">
        <f t="shared" si="4"/>
        <v>3</v>
      </c>
    </row>
    <row r="139" spans="1:16" outlineLevel="1" x14ac:dyDescent="0.25">
      <c r="D139" s="15" t="s">
        <v>289</v>
      </c>
      <c r="F139" s="2" t="s">
        <v>26</v>
      </c>
      <c r="G139" t="str">
        <f>_xlfn.XLOOKUP(Indented_BoM[[#This Row],[Part Number]], Catalogue_Components[Part Number], Catalogue_Components[Descriptive Name], "Component not found!")</f>
        <v>M3 Threaded Insert</v>
      </c>
      <c r="H139" t="str">
        <f>_xlfn.XLOOKUP(Indented_BoM[[#This Row],[Part Number]], Catalogue_Components[Part Number], Catalogue_Components[Manufacturer], "-")</f>
        <v>Bossard</v>
      </c>
      <c r="I139" s="16">
        <v>2</v>
      </c>
      <c r="J139" s="16">
        <f>Indented_BoM[[#This Row],[Part]]*J138</f>
        <v>2</v>
      </c>
      <c r="K139" s="21">
        <f>_xlfn.XLOOKUP(Indented_BoM[[#This Row],[Part Number]], Catalogue_Components[Part Number], Catalogue_Components[Price Per Unit], "")</f>
        <v>0.24</v>
      </c>
      <c r="L139" s="20">
        <f>_xlfn.XLOOKUP(Indented_BoM[[#This Row],[Part Number]], Catalogue_Components[Part Number], Catalogue_Components[Print Time], "")</f>
        <v>0</v>
      </c>
      <c r="M139" s="14"/>
      <c r="N139" s="22">
        <f>Indented_BoM[[#This Row],[Part '[CHF']]]*Indented_BoM[[#This Row],[Total]]</f>
        <v>0.48</v>
      </c>
      <c r="O139" s="20">
        <f>IF(L139="", "", Indented_BoM[[#This Row],[Part '[hh:mm']]]*Indented_BoM[[#This Row],[Total]])</f>
        <v>0</v>
      </c>
      <c r="P139">
        <f t="shared" si="4"/>
        <v>4</v>
      </c>
    </row>
    <row r="140" spans="1:16" outlineLevel="1" x14ac:dyDescent="0.25">
      <c r="D140" s="15" t="s">
        <v>289</v>
      </c>
      <c r="F140" s="2" t="s">
        <v>320</v>
      </c>
      <c r="G140" t="str">
        <f>_xlfn.XLOOKUP(Indented_BoM[[#This Row],[Part Number]], Catalogue_Components[Part Number], Catalogue_Components[Descriptive Name], "Component not found!")</f>
        <v>Torque Sensor Amplifier</v>
      </c>
      <c r="H140" t="str">
        <f>_xlfn.XLOOKUP(Indented_BoM[[#This Row],[Part Number]], Catalogue_Components[Part Number], Catalogue_Components[Manufacturer], "-")</f>
        <v>Transmetra</v>
      </c>
      <c r="I140" s="16">
        <v>1</v>
      </c>
      <c r="J140" s="16">
        <f>Indented_BoM[[#This Row],[Part]]*J138</f>
        <v>1</v>
      </c>
      <c r="K140" s="21">
        <f>_xlfn.XLOOKUP(Indented_BoM[[#This Row],[Part Number]], Catalogue_Components[Part Number], Catalogue_Components[Price Per Unit], "")</f>
        <v>497</v>
      </c>
      <c r="L140" s="20">
        <f>_xlfn.XLOOKUP(Indented_BoM[[#This Row],[Part Number]], Catalogue_Components[Part Number], Catalogue_Components[Print Time], "")</f>
        <v>0</v>
      </c>
      <c r="M140" s="14"/>
      <c r="N140" s="22">
        <f>Indented_BoM[[#This Row],[Part '[CHF']]]*Indented_BoM[[#This Row],[Total]]</f>
        <v>497</v>
      </c>
      <c r="O140" s="20">
        <f>IF(L140="", "", Indented_BoM[[#This Row],[Part '[hh:mm']]]*Indented_BoM[[#This Row],[Total]])</f>
        <v>0</v>
      </c>
      <c r="P140">
        <f t="shared" si="4"/>
        <v>4</v>
      </c>
    </row>
    <row r="141" spans="1:16" outlineLevel="1" x14ac:dyDescent="0.25">
      <c r="C141" s="15" t="s">
        <v>289</v>
      </c>
      <c r="F141" s="2" t="s">
        <v>24</v>
      </c>
      <c r="G141" t="str">
        <f>_xlfn.XLOOKUP(Indented_BoM[[#This Row],[Part Number]], Catalogue_Components[Part Number], Catalogue_Components[Descriptive Name], "Component not found!")</f>
        <v>Flat Washer M3</v>
      </c>
      <c r="H141" t="str">
        <f>_xlfn.XLOOKUP(Indented_BoM[[#This Row],[Part Number]], Catalogue_Components[Part Number], Catalogue_Components[Manufacturer], "-")</f>
        <v>Bossard</v>
      </c>
      <c r="I141" s="16">
        <v>1</v>
      </c>
      <c r="J141" s="16">
        <f>Indented_BoM[[#This Row],[Part]]*$J$132</f>
        <v>1</v>
      </c>
      <c r="K141" s="21">
        <f>_xlfn.XLOOKUP(Indented_BoM[[#This Row],[Part Number]], Catalogue_Components[Part Number], Catalogue_Components[Price Per Unit], "")</f>
        <v>3.2000000000000001E-2</v>
      </c>
      <c r="L141" s="20">
        <f>_xlfn.XLOOKUP(Indented_BoM[[#This Row],[Part Number]], Catalogue_Components[Part Number], Catalogue_Components[Print Time], "")</f>
        <v>0</v>
      </c>
      <c r="M141" s="14"/>
      <c r="N141" s="22">
        <f>Indented_BoM[[#This Row],[Part '[CHF']]]*Indented_BoM[[#This Row],[Total]]</f>
        <v>3.2000000000000001E-2</v>
      </c>
      <c r="O141" s="20">
        <f>IF(L141="", "", Indented_BoM[[#This Row],[Part '[hh:mm']]]*Indented_BoM[[#This Row],[Total]])</f>
        <v>0</v>
      </c>
      <c r="P141">
        <f t="shared" si="4"/>
        <v>3</v>
      </c>
    </row>
    <row r="142" spans="1:16" outlineLevel="1" x14ac:dyDescent="0.25">
      <c r="C142" s="15" t="s">
        <v>289</v>
      </c>
      <c r="F142" s="2" t="s">
        <v>16</v>
      </c>
      <c r="G142" t="str">
        <f>_xlfn.XLOOKUP(Indented_BoM[[#This Row],[Part Number]], Catalogue_Components[Part Number], Catalogue_Components[Descriptive Name], "Component not found!")</f>
        <v>M3x8 Screw Hex Socket</v>
      </c>
      <c r="H142" t="str">
        <f>_xlfn.XLOOKUP(Indented_BoM[[#This Row],[Part Number]], Catalogue_Components[Part Number], Catalogue_Components[Manufacturer], "-")</f>
        <v>Bossard</v>
      </c>
      <c r="I142" s="16">
        <v>2</v>
      </c>
      <c r="J142" s="16">
        <f>Indented_BoM[[#This Row],[Part]]*$J$132</f>
        <v>2</v>
      </c>
      <c r="K142" s="21">
        <f>_xlfn.XLOOKUP(Indented_BoM[[#This Row],[Part Number]], Catalogue_Components[Part Number], Catalogue_Components[Price Per Unit], "")</f>
        <v>0.188</v>
      </c>
      <c r="L142" s="20">
        <f>_xlfn.XLOOKUP(Indented_BoM[[#This Row],[Part Number]], Catalogue_Components[Part Number], Catalogue_Components[Print Time], "")</f>
        <v>0</v>
      </c>
      <c r="M142" s="14"/>
      <c r="N142" s="22">
        <f>Indented_BoM[[#This Row],[Part '[CHF']]]*Indented_BoM[[#This Row],[Total]]</f>
        <v>0.376</v>
      </c>
      <c r="O142" s="20">
        <f>IF(L142="", "", Indented_BoM[[#This Row],[Part '[hh:mm']]]*Indented_BoM[[#This Row],[Total]])</f>
        <v>0</v>
      </c>
      <c r="P142">
        <f t="shared" si="4"/>
        <v>3</v>
      </c>
    </row>
    <row r="143" spans="1:16" outlineLevel="1" x14ac:dyDescent="0.25">
      <c r="C143" s="15" t="s">
        <v>289</v>
      </c>
      <c r="F143" s="2" t="s">
        <v>18</v>
      </c>
      <c r="G143" t="str">
        <f>_xlfn.XLOOKUP(Indented_BoM[[#This Row],[Part Number]], Catalogue_Components[Part Number], Catalogue_Components[Descriptive Name], "Component not found!")</f>
        <v>M3x8 Screw Hex Countersunk</v>
      </c>
      <c r="H143" t="str">
        <f>_xlfn.XLOOKUP(Indented_BoM[[#This Row],[Part Number]], Catalogue_Components[Part Number], Catalogue_Components[Manufacturer], "-")</f>
        <v>Bossard</v>
      </c>
      <c r="I143" s="16">
        <v>2</v>
      </c>
      <c r="J143" s="16">
        <f>Indented_BoM[[#This Row],[Part]]*$J$132</f>
        <v>2</v>
      </c>
      <c r="K143" s="21">
        <f>_xlfn.XLOOKUP(Indented_BoM[[#This Row],[Part Number]], Catalogue_Components[Part Number], Catalogue_Components[Price Per Unit], "")</f>
        <v>0.183</v>
      </c>
      <c r="L143" s="20">
        <f>_xlfn.XLOOKUP(Indented_BoM[[#This Row],[Part Number]], Catalogue_Components[Part Number], Catalogue_Components[Print Time], "")</f>
        <v>0</v>
      </c>
      <c r="M143" s="14"/>
      <c r="N143" s="22">
        <f>Indented_BoM[[#This Row],[Part '[CHF']]]*Indented_BoM[[#This Row],[Total]]</f>
        <v>0.36599999999999999</v>
      </c>
      <c r="O143" s="20">
        <f>IF(L143="", "", Indented_BoM[[#This Row],[Part '[hh:mm']]]*Indented_BoM[[#This Row],[Total]])</f>
        <v>0</v>
      </c>
      <c r="P143">
        <f t="shared" si="4"/>
        <v>3</v>
      </c>
    </row>
    <row r="144" spans="1:16" outlineLevel="1" x14ac:dyDescent="0.25">
      <c r="C144" s="15" t="s">
        <v>289</v>
      </c>
      <c r="F144" s="2" t="s">
        <v>321</v>
      </c>
      <c r="G144" t="str">
        <f>_xlfn.XLOOKUP(Indented_BoM[[#This Row],[Part Number]], Catalogue_Components[Part Number], Catalogue_Components[Descriptive Name], "Component not found!")</f>
        <v>Connector Labels</v>
      </c>
      <c r="H144" t="str">
        <f>_xlfn.XLOOKUP(Indented_BoM[[#This Row],[Part Number]], Catalogue_Components[Part Number], Catalogue_Components[Manufacturer], "-")</f>
        <v>Custom</v>
      </c>
      <c r="I144" s="16">
        <v>1</v>
      </c>
      <c r="J144" s="16">
        <f>Indented_BoM[[#This Row],[Part]]*$J$132</f>
        <v>1</v>
      </c>
      <c r="K144" s="21">
        <f>_xlfn.XLOOKUP(Indented_BoM[[#This Row],[Part Number]], Catalogue_Components[Part Number], Catalogue_Components[Price Per Unit], "")</f>
        <v>0</v>
      </c>
      <c r="L144" s="20">
        <f>_xlfn.XLOOKUP(Indented_BoM[[#This Row],[Part Number]], Catalogue_Components[Part Number], Catalogue_Components[Print Time], "")</f>
        <v>4.4444444444444446E-2</v>
      </c>
      <c r="M144" s="14"/>
      <c r="N144" s="22">
        <f>Indented_BoM[[#This Row],[Part '[CHF']]]*Indented_BoM[[#This Row],[Total]]</f>
        <v>0</v>
      </c>
      <c r="O144" s="20">
        <f>IF(L144="", "", Indented_BoM[[#This Row],[Part '[hh:mm']]]*Indented_BoM[[#This Row],[Total]])</f>
        <v>4.4444444444444446E-2</v>
      </c>
      <c r="P144">
        <f t="shared" si="4"/>
        <v>3</v>
      </c>
    </row>
    <row r="145" spans="2:17" outlineLevel="1" x14ac:dyDescent="0.25">
      <c r="B145" s="15" t="s">
        <v>289</v>
      </c>
      <c r="F145" s="2" t="s">
        <v>322</v>
      </c>
      <c r="G145" t="str">
        <f>_xlfn.XLOOKUP(Indented_BoM[[#This Row],[Part Number]], Catalogue_Components[Part Number], Catalogue_Components[Descriptive Name], "Component not found!")</f>
        <v>MOLEX Plate</v>
      </c>
      <c r="H145" t="str">
        <f>_xlfn.XLOOKUP(Indented_BoM[[#This Row],[Part Number]], Catalogue_Components[Part Number], Catalogue_Components[Manufacturer], "-")</f>
        <v>Custom</v>
      </c>
      <c r="I145" s="16">
        <v>1</v>
      </c>
      <c r="J145" s="16">
        <f>Indented_BoM[[#This Row],[Part]]*J132</f>
        <v>1</v>
      </c>
      <c r="K145" s="21">
        <f>_xlfn.XLOOKUP(Indented_BoM[[#This Row],[Part Number]], Catalogue_Components[Part Number], Catalogue_Components[Price Per Unit], "")</f>
        <v>0</v>
      </c>
      <c r="L145" s="20">
        <f>_xlfn.XLOOKUP(Indented_BoM[[#This Row],[Part Number]], Catalogue_Components[Part Number], Catalogue_Components[Print Time], "")</f>
        <v>4.5138888888888888E-2</v>
      </c>
      <c r="M145" s="14"/>
      <c r="N145" s="22">
        <f>Indented_BoM[[#This Row],[Total]]*Indented_BoM[[#This Row],[Part '[CHF']]]+SUM(N146:N150)</f>
        <v>2.25</v>
      </c>
      <c r="O145" s="20">
        <f>Indented_BoM[[#This Row],[Part '[hh:mm']]]*Indented_BoM[[#This Row],[Total]]+SUMIF(P146:P150,Indented_BoM[[#This Row],[Assy-Lvl]]+1,O146:O150)</f>
        <v>4.5138888888888888E-2</v>
      </c>
      <c r="P145">
        <f t="shared" si="4"/>
        <v>2</v>
      </c>
    </row>
    <row r="146" spans="2:17" outlineLevel="1" x14ac:dyDescent="0.25">
      <c r="C146" s="15" t="s">
        <v>289</v>
      </c>
      <c r="F146" s="2">
        <v>39012021</v>
      </c>
      <c r="G146" t="str">
        <f>_xlfn.XLOOKUP(Indented_BoM[[#This Row],[Part Number]], Catalogue_Components[Part Number], Catalogue_Components[Descriptive Name], "Component not found!")</f>
        <v>Connector MiniFit 1x2 Socket</v>
      </c>
      <c r="H146" t="str">
        <f>_xlfn.XLOOKUP(Indented_BoM[[#This Row],[Part Number]], Catalogue_Components[Part Number], Catalogue_Components[Manufacturer], "-")</f>
        <v>Molex</v>
      </c>
      <c r="I146" s="16">
        <v>1</v>
      </c>
      <c r="J146" s="16">
        <f>Indented_BoM[[#This Row],[Part]]*$J$145</f>
        <v>1</v>
      </c>
      <c r="K146" s="21">
        <f>_xlfn.XLOOKUP(Indented_BoM[[#This Row],[Part Number]], Catalogue_Components[Part Number], Catalogue_Components[Price Per Unit], "")</f>
        <v>0.28999999999999998</v>
      </c>
      <c r="L146" s="20">
        <f>_xlfn.XLOOKUP(Indented_BoM[[#This Row],[Part Number]], Catalogue_Components[Part Number], Catalogue_Components[Print Time], "")</f>
        <v>0</v>
      </c>
      <c r="M146" s="14"/>
      <c r="N146" s="22">
        <f>Indented_BoM[[#This Row],[Part '[CHF']]]*Indented_BoM[[#This Row],[Total]]</f>
        <v>0.28999999999999998</v>
      </c>
      <c r="O146" s="20">
        <f>IF(L146="", "", Indented_BoM[[#This Row],[Part '[hh:mm']]]*Indented_BoM[[#This Row],[Total]])</f>
        <v>0</v>
      </c>
      <c r="P146">
        <f t="shared" si="4"/>
        <v>3</v>
      </c>
    </row>
    <row r="147" spans="2:17" outlineLevel="1" x14ac:dyDescent="0.25">
      <c r="C147" s="15" t="s">
        <v>289</v>
      </c>
      <c r="F147" s="2">
        <v>430200400</v>
      </c>
      <c r="G147" t="str">
        <f>_xlfn.XLOOKUP(Indented_BoM[[#This Row],[Part Number]], Catalogue_Components[Part Number], Catalogue_Components[Descriptive Name], "Component not found!")</f>
        <v>Connector MicroFit 2x2 Socket</v>
      </c>
      <c r="H147" t="str">
        <f>_xlfn.XLOOKUP(Indented_BoM[[#This Row],[Part Number]], Catalogue_Components[Part Number], Catalogue_Components[Manufacturer], "-")</f>
        <v>Molex</v>
      </c>
      <c r="I147" s="16">
        <v>1</v>
      </c>
      <c r="J147" s="16">
        <f>Indented_BoM[[#This Row],[Part]]*$J$145</f>
        <v>1</v>
      </c>
      <c r="K147" s="21">
        <f>_xlfn.XLOOKUP(Indented_BoM[[#This Row],[Part Number]], Catalogue_Components[Part Number], Catalogue_Components[Price Per Unit], "")</f>
        <v>0.28999999999999998</v>
      </c>
      <c r="L147" s="20">
        <f>_xlfn.XLOOKUP(Indented_BoM[[#This Row],[Part Number]], Catalogue_Components[Part Number], Catalogue_Components[Print Time], "")</f>
        <v>0</v>
      </c>
      <c r="M147" s="14"/>
      <c r="N147" s="22">
        <f>Indented_BoM[[#This Row],[Part '[CHF']]]*Indented_BoM[[#This Row],[Total]]</f>
        <v>0.28999999999999998</v>
      </c>
      <c r="O147" s="20">
        <f>IF(L147="", "", Indented_BoM[[#This Row],[Part '[hh:mm']]]*Indented_BoM[[#This Row],[Total]])</f>
        <v>0</v>
      </c>
      <c r="P147">
        <f t="shared" si="4"/>
        <v>3</v>
      </c>
    </row>
    <row r="148" spans="2:17" outlineLevel="1" x14ac:dyDescent="0.25">
      <c r="C148" s="15" t="s">
        <v>289</v>
      </c>
      <c r="F148" s="2">
        <v>430200208</v>
      </c>
      <c r="G148" t="str">
        <f>_xlfn.XLOOKUP(Indented_BoM[[#This Row],[Part Number]], Catalogue_Components[Part Number], Catalogue_Components[Descriptive Name], "Component not found!")</f>
        <v>Connector MicroFit 1x2 Socket</v>
      </c>
      <c r="H148" t="str">
        <f>_xlfn.XLOOKUP(Indented_BoM[[#This Row],[Part Number]], Catalogue_Components[Part Number], Catalogue_Components[Manufacturer], "-")</f>
        <v>Molex</v>
      </c>
      <c r="I148" s="16">
        <v>2</v>
      </c>
      <c r="J148" s="16">
        <f>Indented_BoM[[#This Row],[Part]]*$J$145</f>
        <v>2</v>
      </c>
      <c r="K148" s="21">
        <f>_xlfn.XLOOKUP(Indented_BoM[[#This Row],[Part Number]], Catalogue_Components[Part Number], Catalogue_Components[Price Per Unit], "")</f>
        <v>0.38</v>
      </c>
      <c r="L148" s="20">
        <f>_xlfn.XLOOKUP(Indented_BoM[[#This Row],[Part Number]], Catalogue_Components[Part Number], Catalogue_Components[Print Time], "")</f>
        <v>0</v>
      </c>
      <c r="M148" s="14"/>
      <c r="N148" s="22">
        <f>Indented_BoM[[#This Row],[Part '[CHF']]]*Indented_BoM[[#This Row],[Total]]</f>
        <v>0.76</v>
      </c>
      <c r="O148" s="20">
        <f>IF(L148="", "", Indented_BoM[[#This Row],[Part '[hh:mm']]]*Indented_BoM[[#This Row],[Total]])</f>
        <v>0</v>
      </c>
      <c r="P148">
        <f t="shared" si="4"/>
        <v>3</v>
      </c>
    </row>
    <row r="149" spans="2:17" outlineLevel="1" x14ac:dyDescent="0.25">
      <c r="C149" s="15" t="s">
        <v>289</v>
      </c>
      <c r="F149" s="2">
        <v>436400400</v>
      </c>
      <c r="G149" t="str">
        <f>_xlfn.XLOOKUP(Indented_BoM[[#This Row],[Part Number]], Catalogue_Components[Part Number], Catalogue_Components[Descriptive Name], "Component not found!")</f>
        <v xml:space="preserve">Connector MicroFit 1x4 Socket </v>
      </c>
      <c r="H149" t="str">
        <f>_xlfn.XLOOKUP(Indented_BoM[[#This Row],[Part Number]], Catalogue_Components[Part Number], Catalogue_Components[Manufacturer], "-")</f>
        <v>Molex</v>
      </c>
      <c r="I149" s="16">
        <v>2</v>
      </c>
      <c r="J149" s="16">
        <f>Indented_BoM[[#This Row],[Part]]*$J$145</f>
        <v>2</v>
      </c>
      <c r="K149" s="21">
        <f>_xlfn.XLOOKUP(Indented_BoM[[#This Row],[Part Number]], Catalogue_Components[Part Number], Catalogue_Components[Price Per Unit], "")</f>
        <v>0.31</v>
      </c>
      <c r="L149" s="20">
        <f>_xlfn.XLOOKUP(Indented_BoM[[#This Row],[Part Number]], Catalogue_Components[Part Number], Catalogue_Components[Print Time], "")</f>
        <v>0</v>
      </c>
      <c r="M149" s="14"/>
      <c r="N149" s="22">
        <f>Indented_BoM[[#This Row],[Part '[CHF']]]*Indented_BoM[[#This Row],[Total]]</f>
        <v>0.62</v>
      </c>
      <c r="O149" s="20">
        <f>IF(L149="", "", Indented_BoM[[#This Row],[Part '[hh:mm']]]*Indented_BoM[[#This Row],[Total]])</f>
        <v>0</v>
      </c>
      <c r="P149">
        <f t="shared" si="4"/>
        <v>3</v>
      </c>
    </row>
    <row r="150" spans="2:17" outlineLevel="1" x14ac:dyDescent="0.25">
      <c r="C150" s="15" t="s">
        <v>289</v>
      </c>
      <c r="F150" s="2">
        <v>436400300</v>
      </c>
      <c r="G150" t="str">
        <f>_xlfn.XLOOKUP(Indented_BoM[[#This Row],[Part Number]], Catalogue_Components[Part Number], Catalogue_Components[Descriptive Name], "Component not found!")</f>
        <v>Connector MicroFit 1x3 Socket</v>
      </c>
      <c r="H150" t="str">
        <f>_xlfn.XLOOKUP(Indented_BoM[[#This Row],[Part Number]], Catalogue_Components[Part Number], Catalogue_Components[Manufacturer], "-")</f>
        <v>Molex</v>
      </c>
      <c r="I150" s="16">
        <v>1</v>
      </c>
      <c r="J150" s="16">
        <f>Indented_BoM[[#This Row],[Part]]*$J$145</f>
        <v>1</v>
      </c>
      <c r="K150" s="21">
        <f>_xlfn.XLOOKUP(Indented_BoM[[#This Row],[Part Number]], Catalogue_Components[Part Number], Catalogue_Components[Price Per Unit], "")</f>
        <v>0.28999999999999998</v>
      </c>
      <c r="L150" s="20">
        <f>_xlfn.XLOOKUP(Indented_BoM[[#This Row],[Part Number]], Catalogue_Components[Part Number], Catalogue_Components[Print Time], "")</f>
        <v>0</v>
      </c>
      <c r="M150" s="14"/>
      <c r="N150" s="22">
        <f>Indented_BoM[[#This Row],[Part '[CHF']]]*Indented_BoM[[#This Row],[Total]]</f>
        <v>0.28999999999999998</v>
      </c>
      <c r="O150" s="20">
        <f>IF(L150="", "", Indented_BoM[[#This Row],[Part '[hh:mm']]]*Indented_BoM[[#This Row],[Total]])</f>
        <v>0</v>
      </c>
      <c r="P150">
        <f t="shared" si="4"/>
        <v>3</v>
      </c>
    </row>
    <row r="151" spans="2:17" outlineLevel="1" x14ac:dyDescent="0.25">
      <c r="B151" s="15" t="s">
        <v>289</v>
      </c>
      <c r="F151" s="2" t="s">
        <v>16</v>
      </c>
      <c r="G151" t="str">
        <f>_xlfn.XLOOKUP(Indented_BoM[[#This Row],[Part Number]], Catalogue_Components[Part Number], Catalogue_Components[Descriptive Name], "Component not found!")</f>
        <v>M3x8 Screw Hex Socket</v>
      </c>
      <c r="H151" t="str">
        <f>_xlfn.XLOOKUP(Indented_BoM[[#This Row],[Part Number]], Catalogue_Components[Part Number], Catalogue_Components[Manufacturer], "-")</f>
        <v>Bossard</v>
      </c>
      <c r="I151" s="16">
        <v>4</v>
      </c>
      <c r="J151" s="16">
        <f>Indented_BoM[[#This Row],[Part]]*$J$132</f>
        <v>4</v>
      </c>
      <c r="K151" s="21">
        <f>_xlfn.XLOOKUP(Indented_BoM[[#This Row],[Part Number]], Catalogue_Components[Part Number], Catalogue_Components[Price Per Unit], "")</f>
        <v>0.188</v>
      </c>
      <c r="L151" s="20">
        <f>_xlfn.XLOOKUP(Indented_BoM[[#This Row],[Part Number]], Catalogue_Components[Part Number], Catalogue_Components[Print Time], "")</f>
        <v>0</v>
      </c>
      <c r="M151" s="14"/>
      <c r="N151" s="22">
        <f>Indented_BoM[[#This Row],[Part '[CHF']]]*Indented_BoM[[#This Row],[Total]]</f>
        <v>0.752</v>
      </c>
      <c r="O151" s="20">
        <f>IF(L151="", "", Indented_BoM[[#This Row],[Part '[hh:mm']]]*Indented_BoM[[#This Row],[Total]])</f>
        <v>0</v>
      </c>
      <c r="P151">
        <f t="shared" si="4"/>
        <v>2</v>
      </c>
    </row>
    <row r="152" spans="2:17" outlineLevel="1" x14ac:dyDescent="0.25">
      <c r="B152" s="15" t="s">
        <v>289</v>
      </c>
      <c r="F152" s="2" t="s">
        <v>24</v>
      </c>
      <c r="G152" t="str">
        <f>_xlfn.XLOOKUP(Indented_BoM[[#This Row],[Part Number]], Catalogue_Components[Part Number], Catalogue_Components[Descriptive Name], "Component not found!")</f>
        <v>Flat Washer M3</v>
      </c>
      <c r="H152" t="str">
        <f>_xlfn.XLOOKUP(Indented_BoM[[#This Row],[Part Number]], Catalogue_Components[Part Number], Catalogue_Components[Manufacturer], "-")</f>
        <v>Bossard</v>
      </c>
      <c r="I152" s="16">
        <v>4</v>
      </c>
      <c r="J152" s="16">
        <f>Indented_BoM[[#This Row],[Part]]*$J$132</f>
        <v>4</v>
      </c>
      <c r="K152" s="21">
        <f>_xlfn.XLOOKUP(Indented_BoM[[#This Row],[Part Number]], Catalogue_Components[Part Number], Catalogue_Components[Price Per Unit], "")</f>
        <v>3.2000000000000001E-2</v>
      </c>
      <c r="L152" s="20">
        <f>_xlfn.XLOOKUP(Indented_BoM[[#This Row],[Part Number]], Catalogue_Components[Part Number], Catalogue_Components[Print Time], "")</f>
        <v>0</v>
      </c>
      <c r="M152" s="14"/>
      <c r="N152" s="22">
        <f>Indented_BoM[[#This Row],[Part '[CHF']]]*Indented_BoM[[#This Row],[Total]]</f>
        <v>0.128</v>
      </c>
      <c r="O152" s="20">
        <f>IF(L152="", "", Indented_BoM[[#This Row],[Part '[hh:mm']]]*Indented_BoM[[#This Row],[Total]])</f>
        <v>0</v>
      </c>
      <c r="P152">
        <f t="shared" si="4"/>
        <v>2</v>
      </c>
    </row>
    <row r="153" spans="2:17" outlineLevel="1" x14ac:dyDescent="0.25">
      <c r="B153" s="15" t="s">
        <v>289</v>
      </c>
      <c r="F153" s="2" t="s">
        <v>323</v>
      </c>
      <c r="G153" t="str">
        <f>_xlfn.XLOOKUP(Indented_BoM[[#This Row],[Part Number]], Catalogue_Components[Part Number], Catalogue_Components[Descriptive Name], "Component not found!")</f>
        <v>Electronics Cabinet 600x400</v>
      </c>
      <c r="H153" t="str">
        <f>_xlfn.XLOOKUP(Indented_BoM[[#This Row],[Part Number]], Catalogue_Components[Part Number], Catalogue_Components[Manufacturer], "-")</f>
        <v>Schneider Electric</v>
      </c>
      <c r="I153" s="16">
        <v>1</v>
      </c>
      <c r="J153" s="16">
        <f>Indented_BoM[[#This Row],[Part]]*$J$132</f>
        <v>1</v>
      </c>
      <c r="K153" s="21">
        <f>_xlfn.XLOOKUP(Indented_BoM[[#This Row],[Part Number]], Catalogue_Components[Part Number], Catalogue_Components[Price Per Unit], "")</f>
        <v>89.76</v>
      </c>
      <c r="L153" s="20">
        <f>_xlfn.XLOOKUP(Indented_BoM[[#This Row],[Part Number]], Catalogue_Components[Part Number], Catalogue_Components[Print Time], "")</f>
        <v>0</v>
      </c>
      <c r="M153" s="14"/>
      <c r="N153" s="22">
        <f>Indented_BoM[[#This Row],[Part '[CHF']]]*Indented_BoM[[#This Row],[Total]]</f>
        <v>89.76</v>
      </c>
      <c r="O153" s="20">
        <f>IF(L153="", "", Indented_BoM[[#This Row],[Part '[hh:mm']]]*Indented_BoM[[#This Row],[Total]])</f>
        <v>0</v>
      </c>
      <c r="P153">
        <f t="shared" si="4"/>
        <v>2</v>
      </c>
    </row>
    <row r="154" spans="2:17" outlineLevel="1" x14ac:dyDescent="0.25">
      <c r="B154" s="15" t="s">
        <v>289</v>
      </c>
      <c r="F154" s="2" t="s">
        <v>324</v>
      </c>
      <c r="G154" t="str">
        <f>_xlfn.XLOOKUP(Indented_BoM[[#This Row],[Part Number]], Catalogue_Components[Part Number], Catalogue_Components[Descriptive Name], "Component not found!")</f>
        <v>Build Plate</v>
      </c>
      <c r="H154" t="str">
        <f>_xlfn.XLOOKUP(Indented_BoM[[#This Row],[Part Number]], Catalogue_Components[Part Number], Catalogue_Components[Manufacturer], "-")</f>
        <v>Custom</v>
      </c>
      <c r="I154" s="16">
        <v>1</v>
      </c>
      <c r="J154" s="16">
        <f>Indented_BoM[[#This Row],[Part]]*$J$132</f>
        <v>1</v>
      </c>
      <c r="K154" s="21">
        <f>_xlfn.XLOOKUP(Indented_BoM[[#This Row],[Part Number]], Catalogue_Components[Part Number], Catalogue_Components[Price Per Unit], "")</f>
        <v>0</v>
      </c>
      <c r="L154" s="20">
        <f>_xlfn.XLOOKUP(Indented_BoM[[#This Row],[Part Number]], Catalogue_Components[Part Number], Catalogue_Components[Print Time], "")</f>
        <v>0</v>
      </c>
      <c r="M154" s="14"/>
      <c r="N154" s="22">
        <f>Indented_BoM[[#This Row],[Part '[CHF']]]*Indented_BoM[[#This Row],[Total]]+SUMIF(P155:P168,Indented_BoM[[#This Row],[Assy-Lvl]]+1,N155:N168)</f>
        <v>678.58500000000015</v>
      </c>
      <c r="O154" s="20">
        <f>Indented_BoM[[#This Row],[Part '[hh:mm']]]*Indented_BoM[[#This Row],[Total]]+SUMIF(P155:P168,Indented_BoM[[#This Row],[Assy-Lvl]]+1,O155:O168)</f>
        <v>2.7083333333333334E-2</v>
      </c>
      <c r="P154">
        <f t="shared" si="4"/>
        <v>2</v>
      </c>
    </row>
    <row r="155" spans="2:17" outlineLevel="1" x14ac:dyDescent="0.25">
      <c r="C155" s="15" t="s">
        <v>289</v>
      </c>
      <c r="F155" s="2">
        <v>801733</v>
      </c>
      <c r="G155" t="str">
        <f>_xlfn.XLOOKUP(Indented_BoM[[#This Row],[Part Number]], Catalogue_Components[Part Number], Catalogue_Components[Descriptive Name], "Component not found!")</f>
        <v>DIN Rail 35 x 7.5</v>
      </c>
      <c r="H155" t="str">
        <f>_xlfn.XLOOKUP(Indented_BoM[[#This Row],[Part Number]], Catalogue_Components[Part Number], Catalogue_Components[Manufacturer], "-")</f>
        <v>Phoenix Contact</v>
      </c>
      <c r="I155" s="16">
        <v>1</v>
      </c>
      <c r="J155" s="16">
        <f>Indented_BoM[[#This Row],[Part]]*$J$154</f>
        <v>1</v>
      </c>
      <c r="K155" s="21">
        <f>_xlfn.XLOOKUP(Indented_BoM[[#This Row],[Part Number]], Catalogue_Components[Part Number], Catalogue_Components[Price Per Unit], "")</f>
        <v>9.3800000000000008</v>
      </c>
      <c r="L155" s="20">
        <f>_xlfn.XLOOKUP(Indented_BoM[[#This Row],[Part Number]], Catalogue_Components[Part Number], Catalogue_Components[Print Time], "")</f>
        <v>0</v>
      </c>
      <c r="M155" s="10" t="s">
        <v>331</v>
      </c>
      <c r="N155" s="22">
        <f>Indented_BoM[[#This Row],[Part '[CHF']]]*Indented_BoM[[#This Row],[Total]]</f>
        <v>9.3800000000000008</v>
      </c>
      <c r="O155" s="20">
        <f>IF(L155="", "", Indented_BoM[[#This Row],[Part '[hh:mm']]]*Indented_BoM[[#This Row],[Total]])</f>
        <v>0</v>
      </c>
      <c r="P155">
        <f t="shared" si="4"/>
        <v>3</v>
      </c>
      <c r="Q155" s="18"/>
    </row>
    <row r="156" spans="2:17" outlineLevel="1" x14ac:dyDescent="0.25">
      <c r="C156" s="15" t="s">
        <v>289</v>
      </c>
      <c r="F156" s="2" t="s">
        <v>176</v>
      </c>
      <c r="G156" t="str">
        <f>_xlfn.XLOOKUP(Indented_BoM[[#This Row],[Part Number]], Catalogue_Components[Part Number], Catalogue_Components[Descriptive Name], "Component not found!")</f>
        <v>Cable Duct</v>
      </c>
      <c r="H156" t="str">
        <f>_xlfn.XLOOKUP(Indented_BoM[[#This Row],[Part Number]], Catalogue_Components[Part Number], Catalogue_Components[Manufacturer], "-")</f>
        <v>RS Pro</v>
      </c>
      <c r="I156" s="16">
        <v>2</v>
      </c>
      <c r="J156" s="16">
        <f>Indented_BoM[[#This Row],[Part]]*$J$154</f>
        <v>2</v>
      </c>
      <c r="K156" s="21">
        <f>_xlfn.XLOOKUP(Indented_BoM[[#This Row],[Part Number]], Catalogue_Components[Part Number], Catalogue_Components[Price Per Unit], "")</f>
        <v>4.4249999999999998</v>
      </c>
      <c r="L156" s="20">
        <f>_xlfn.XLOOKUP(Indented_BoM[[#This Row],[Part Number]], Catalogue_Components[Part Number], Catalogue_Components[Print Time], "")</f>
        <v>0</v>
      </c>
      <c r="M156" s="10" t="s">
        <v>332</v>
      </c>
      <c r="N156" s="22">
        <f>Indented_BoM[[#This Row],[Part '[CHF']]]*Indented_BoM[[#This Row],[Total]]</f>
        <v>8.85</v>
      </c>
      <c r="O156" s="20">
        <f>IF(L156="", "", Indented_BoM[[#This Row],[Part '[hh:mm']]]*Indented_BoM[[#This Row],[Total]])</f>
        <v>0</v>
      </c>
      <c r="P156">
        <f t="shared" si="4"/>
        <v>3</v>
      </c>
    </row>
    <row r="157" spans="2:17" outlineLevel="1" x14ac:dyDescent="0.25">
      <c r="C157" s="15" t="s">
        <v>289</v>
      </c>
      <c r="F157" s="2" t="s">
        <v>250</v>
      </c>
      <c r="G157" t="str">
        <f>_xlfn.XLOOKUP(Indented_BoM[[#This Row],[Part Number]], Catalogue_Components[Part Number], Catalogue_Components[Descriptive Name], "Component not found!")</f>
        <v>Kvaser CAN Tranciever Holder</v>
      </c>
      <c r="H157" t="str">
        <f>_xlfn.XLOOKUP(Indented_BoM[[#This Row],[Part Number]], Catalogue_Components[Part Number], Catalogue_Components[Manufacturer], "-")</f>
        <v>Custom</v>
      </c>
      <c r="I157" s="16">
        <v>1</v>
      </c>
      <c r="J157" s="16">
        <f>Indented_BoM[[#This Row],[Part]]*$J$154</f>
        <v>1</v>
      </c>
      <c r="K157" s="21">
        <f>_xlfn.XLOOKUP(Indented_BoM[[#This Row],[Part Number]], Catalogue_Components[Part Number], Catalogue_Components[Price Per Unit], "")</f>
        <v>0</v>
      </c>
      <c r="L157" s="20">
        <f>_xlfn.XLOOKUP(Indented_BoM[[#This Row],[Part Number]], Catalogue_Components[Part Number], Catalogue_Components[Print Time], "")</f>
        <v>2.7083333333333334E-2</v>
      </c>
      <c r="M157" s="14"/>
      <c r="N157" s="22">
        <f>Indented_BoM[[#This Row],[Total]]*Indented_BoM[[#This Row],[Part '[CHF']]]+SUM(N158:N160)</f>
        <v>322.85199999999998</v>
      </c>
      <c r="O157" s="20">
        <f>Indented_BoM[[#This Row],[Part '[hh:mm']]]*Indented_BoM[[#This Row],[Total]]+SUMIF(P158:P160,Indented_BoM[[#This Row],[Assy-Lvl]]+1,O158:P160)</f>
        <v>2.7083333333333334E-2</v>
      </c>
      <c r="P157">
        <f t="shared" si="4"/>
        <v>3</v>
      </c>
    </row>
    <row r="158" spans="2:17" outlineLevel="1" x14ac:dyDescent="0.25">
      <c r="D158" s="15" t="s">
        <v>289</v>
      </c>
      <c r="F158" s="2">
        <v>1201578</v>
      </c>
      <c r="G158" t="str">
        <f>_xlfn.XLOOKUP(Indented_BoM[[#This Row],[Part Number]], Catalogue_Components[Part Number], Catalogue_Components[Descriptive Name], "Component not found!")</f>
        <v>DIN Rail Adapter USA 10 Series</v>
      </c>
      <c r="H158" t="str">
        <f>_xlfn.XLOOKUP(Indented_BoM[[#This Row],[Part Number]], Catalogue_Components[Part Number], Catalogue_Components[Manufacturer], "-")</f>
        <v>Phoenix Contact</v>
      </c>
      <c r="I158" s="16">
        <v>2</v>
      </c>
      <c r="J158" s="16">
        <f>Indented_BoM[[#This Row],[Part]]*$J$157</f>
        <v>2</v>
      </c>
      <c r="K158" s="21">
        <f>_xlfn.XLOOKUP(Indented_BoM[[#This Row],[Part Number]], Catalogue_Components[Part Number], Catalogue_Components[Price Per Unit], "")</f>
        <v>1.05</v>
      </c>
      <c r="L158" s="20">
        <f>_xlfn.XLOOKUP(Indented_BoM[[#This Row],[Part Number]], Catalogue_Components[Part Number], Catalogue_Components[Print Time], "")</f>
        <v>0</v>
      </c>
      <c r="M158" s="14"/>
      <c r="N158" s="22">
        <f>Indented_BoM[[#This Row],[Part '[CHF']]]*Indented_BoM[[#This Row],[Total]]</f>
        <v>2.1</v>
      </c>
      <c r="O158" s="20">
        <f>IF(L158="", "", Indented_BoM[[#This Row],[Part '[hh:mm']]]*Indented_BoM[[#This Row],[Total]])</f>
        <v>0</v>
      </c>
      <c r="P158">
        <f t="shared" si="4"/>
        <v>4</v>
      </c>
    </row>
    <row r="159" spans="2:17" outlineLevel="1" x14ac:dyDescent="0.25">
      <c r="D159" s="15" t="s">
        <v>289</v>
      </c>
      <c r="F159" s="2" t="s">
        <v>16</v>
      </c>
      <c r="G159" t="str">
        <f>_xlfn.XLOOKUP(Indented_BoM[[#This Row],[Part Number]], Catalogue_Components[Part Number], Catalogue_Components[Descriptive Name], "Component not found!")</f>
        <v>M3x8 Screw Hex Socket</v>
      </c>
      <c r="H159" t="str">
        <f>_xlfn.XLOOKUP(Indented_BoM[[#This Row],[Part Number]], Catalogue_Components[Part Number], Catalogue_Components[Manufacturer], "-")</f>
        <v>Bossard</v>
      </c>
      <c r="I159" s="16">
        <v>4</v>
      </c>
      <c r="J159" s="16">
        <f>Indented_BoM[[#This Row],[Part]]*$J$157</f>
        <v>4</v>
      </c>
      <c r="K159" s="21">
        <f>_xlfn.XLOOKUP(Indented_BoM[[#This Row],[Part Number]], Catalogue_Components[Part Number], Catalogue_Components[Price Per Unit], "")</f>
        <v>0.188</v>
      </c>
      <c r="L159" s="20">
        <f>_xlfn.XLOOKUP(Indented_BoM[[#This Row],[Part Number]], Catalogue_Components[Part Number], Catalogue_Components[Print Time], "")</f>
        <v>0</v>
      </c>
      <c r="M159" s="14"/>
      <c r="N159" s="22">
        <f>Indented_BoM[[#This Row],[Part '[CHF']]]*Indented_BoM[[#This Row],[Total]]</f>
        <v>0.752</v>
      </c>
      <c r="O159" s="20">
        <f>IF(L159="", "", Indented_BoM[[#This Row],[Part '[hh:mm']]]*Indented_BoM[[#This Row],[Total]])</f>
        <v>0</v>
      </c>
      <c r="P159">
        <f t="shared" si="4"/>
        <v>4</v>
      </c>
    </row>
    <row r="160" spans="2:17" outlineLevel="1" x14ac:dyDescent="0.25">
      <c r="D160" s="15" t="s">
        <v>289</v>
      </c>
      <c r="F160" s="2" t="s">
        <v>325</v>
      </c>
      <c r="G160" t="str">
        <f>_xlfn.XLOOKUP(Indented_BoM[[#This Row],[Part Number]], Catalogue_Components[Part Number], Catalogue_Components[Descriptive Name], "Component not found!")</f>
        <v>USB-to-CAN Interface</v>
      </c>
      <c r="H160" t="str">
        <f>_xlfn.XLOOKUP(Indented_BoM[[#This Row],[Part Number]], Catalogue_Components[Part Number], Catalogue_Components[Manufacturer], "-")</f>
        <v>Kvaser</v>
      </c>
      <c r="I160" s="16">
        <v>1</v>
      </c>
      <c r="J160" s="16">
        <f>Indented_BoM[[#This Row],[Part]]*$J$157</f>
        <v>1</v>
      </c>
      <c r="K160" s="21">
        <f>_xlfn.XLOOKUP(Indented_BoM[[#This Row],[Part Number]], Catalogue_Components[Part Number], Catalogue_Components[Price Per Unit], "")</f>
        <v>320</v>
      </c>
      <c r="L160" s="20">
        <f>_xlfn.XLOOKUP(Indented_BoM[[#This Row],[Part Number]], Catalogue_Components[Part Number], Catalogue_Components[Print Time], "")</f>
        <v>0</v>
      </c>
      <c r="M160" s="14"/>
      <c r="N160" s="22">
        <f>Indented_BoM[[#This Row],[Part '[CHF']]]*Indented_BoM[[#This Row],[Total]]</f>
        <v>320</v>
      </c>
      <c r="O160" s="20">
        <f>IF(L160="", "", Indented_BoM[[#This Row],[Part '[hh:mm']]]*Indented_BoM[[#This Row],[Total]])</f>
        <v>0</v>
      </c>
      <c r="P160">
        <f t="shared" si="4"/>
        <v>4</v>
      </c>
    </row>
    <row r="161" spans="1:16" outlineLevel="1" x14ac:dyDescent="0.25">
      <c r="C161" s="15" t="s">
        <v>289</v>
      </c>
      <c r="F161" s="2" t="s">
        <v>326</v>
      </c>
      <c r="G161" t="str">
        <f>_xlfn.XLOOKUP(Indented_BoM[[#This Row],[Part Number]], Catalogue_Components[Part Number], Catalogue_Components[Descriptive Name], "Component not found!")</f>
        <v>Circuit Breaker 13A</v>
      </c>
      <c r="H161" t="str">
        <f>_xlfn.XLOOKUP(Indented_BoM[[#This Row],[Part Number]], Catalogue_Components[Part Number], Catalogue_Components[Manufacturer], "-")</f>
        <v>Hager</v>
      </c>
      <c r="I161" s="16">
        <v>1</v>
      </c>
      <c r="J161" s="16">
        <f>Indented_BoM[[#This Row],[Part]]*$J$154</f>
        <v>1</v>
      </c>
      <c r="K161" s="21">
        <f>_xlfn.XLOOKUP(Indented_BoM[[#This Row],[Part Number]], Catalogue_Components[Part Number], Catalogue_Components[Price Per Unit], "")</f>
        <v>19.600000000000001</v>
      </c>
      <c r="L161" s="20">
        <f>_xlfn.XLOOKUP(Indented_BoM[[#This Row],[Part Number]], Catalogue_Components[Part Number], Catalogue_Components[Print Time], "")</f>
        <v>0</v>
      </c>
      <c r="M161" s="14"/>
      <c r="N161" s="22">
        <f>Indented_BoM[[#This Row],[Part '[CHF']]]*Indented_BoM[[#This Row],[Total]]</f>
        <v>19.600000000000001</v>
      </c>
      <c r="O161" s="20">
        <f>IF(L161="", "", Indented_BoM[[#This Row],[Part '[hh:mm']]]*Indented_BoM[[#This Row],[Total]])</f>
        <v>0</v>
      </c>
      <c r="P161">
        <f t="shared" si="4"/>
        <v>3</v>
      </c>
    </row>
    <row r="162" spans="1:16" outlineLevel="1" x14ac:dyDescent="0.25">
      <c r="C162" s="15" t="s">
        <v>289</v>
      </c>
      <c r="F162" s="2">
        <v>2838400000</v>
      </c>
      <c r="G162" t="str">
        <f>_xlfn.XLOOKUP(Indented_BoM[[#This Row],[Part Number]], Catalogue_Components[Part Number], Catalogue_Components[Descriptive Name], "Component not found!")</f>
        <v>Power Supply 5V</v>
      </c>
      <c r="H162" t="str">
        <f>_xlfn.XLOOKUP(Indented_BoM[[#This Row],[Part Number]], Catalogue_Components[Part Number], Catalogue_Components[Manufacturer], "-")</f>
        <v>Weidmüller</v>
      </c>
      <c r="I162" s="16">
        <v>1</v>
      </c>
      <c r="J162" s="16">
        <f>Indented_BoM[[#This Row],[Part]]*$J$154</f>
        <v>1</v>
      </c>
      <c r="K162" s="21">
        <f>_xlfn.XLOOKUP(Indented_BoM[[#This Row],[Part Number]], Catalogue_Components[Part Number], Catalogue_Components[Price Per Unit], "")</f>
        <v>60.5</v>
      </c>
      <c r="L162" s="20">
        <f>_xlfn.XLOOKUP(Indented_BoM[[#This Row],[Part Number]], Catalogue_Components[Part Number], Catalogue_Components[Print Time], "")</f>
        <v>0</v>
      </c>
      <c r="M162" s="14"/>
      <c r="N162" s="22">
        <f>Indented_BoM[[#This Row],[Part '[CHF']]]*Indented_BoM[[#This Row],[Total]]</f>
        <v>60.5</v>
      </c>
      <c r="O162" s="20">
        <f>IF(L162="", "", Indented_BoM[[#This Row],[Part '[hh:mm']]]*Indented_BoM[[#This Row],[Total]])</f>
        <v>0</v>
      </c>
      <c r="P162">
        <f t="shared" si="4"/>
        <v>3</v>
      </c>
    </row>
    <row r="163" spans="1:16" outlineLevel="1" x14ac:dyDescent="0.25">
      <c r="C163" s="15" t="s">
        <v>289</v>
      </c>
      <c r="F163" s="2" t="s">
        <v>190</v>
      </c>
      <c r="G163" t="str">
        <f>_xlfn.XLOOKUP(Indented_BoM[[#This Row],[Part Number]], Catalogue_Components[Part Number], Catalogue_Components[Descriptive Name], "Component not found!")</f>
        <v>Power Supply 24V</v>
      </c>
      <c r="H163" t="str">
        <f>_xlfn.XLOOKUP(Indented_BoM[[#This Row],[Part Number]], Catalogue_Components[Part Number], Catalogue_Components[Manufacturer], "-")</f>
        <v>Traco Power</v>
      </c>
      <c r="I163" s="16">
        <v>1</v>
      </c>
      <c r="J163" s="16">
        <f>Indented_BoM[[#This Row],[Part]]*$J$154</f>
        <v>1</v>
      </c>
      <c r="K163" s="21">
        <f>_xlfn.XLOOKUP(Indented_BoM[[#This Row],[Part Number]], Catalogue_Components[Part Number], Catalogue_Components[Price Per Unit], "")</f>
        <v>137.22</v>
      </c>
      <c r="L163" s="20">
        <f>_xlfn.XLOOKUP(Indented_BoM[[#This Row],[Part Number]], Catalogue_Components[Part Number], Catalogue_Components[Print Time], "")</f>
        <v>0</v>
      </c>
      <c r="M163" s="14"/>
      <c r="N163" s="22">
        <f>Indented_BoM[[#This Row],[Part '[CHF']]]*Indented_BoM[[#This Row],[Total]]</f>
        <v>137.22</v>
      </c>
      <c r="O163" s="20">
        <f>IF(L163="", "", Indented_BoM[[#This Row],[Part '[hh:mm']]]*Indented_BoM[[#This Row],[Total]])</f>
        <v>0</v>
      </c>
      <c r="P163">
        <f t="shared" ref="P163:P168" si="5">MATCH("x",A163:E163,0)</f>
        <v>3</v>
      </c>
    </row>
    <row r="164" spans="1:16" outlineLevel="1" x14ac:dyDescent="0.25">
      <c r="C164" s="15" t="s">
        <v>289</v>
      </c>
      <c r="F164" s="2" t="s">
        <v>74</v>
      </c>
      <c r="G164" t="str">
        <f>_xlfn.XLOOKUP(Indented_BoM[[#This Row],[Part Number]], Catalogue_Components[Part Number], Catalogue_Components[Descriptive Name], "Component not found!")</f>
        <v>USB Hub</v>
      </c>
      <c r="H164" t="str">
        <f>_xlfn.XLOOKUP(Indented_BoM[[#This Row],[Part Number]], Catalogue_Components[Part Number], Catalogue_Components[Manufacturer], "-")</f>
        <v>Exsys</v>
      </c>
      <c r="I164" s="16">
        <v>1</v>
      </c>
      <c r="J164" s="16">
        <f>Indented_BoM[[#This Row],[Part]]*$J$154</f>
        <v>1</v>
      </c>
      <c r="K164" s="21">
        <f>_xlfn.XLOOKUP(Indented_BoM[[#This Row],[Part Number]], Catalogue_Components[Part Number], Catalogue_Components[Price Per Unit], "")</f>
        <v>64.900000000000006</v>
      </c>
      <c r="L164" s="20">
        <f>_xlfn.XLOOKUP(Indented_BoM[[#This Row],[Part Number]], Catalogue_Components[Part Number], Catalogue_Components[Print Time], "")</f>
        <v>0</v>
      </c>
      <c r="M164" s="14"/>
      <c r="N164" s="22">
        <f>Indented_BoM[[#This Row],[Part '[CHF']]]*Indented_BoM[[#This Row],[Total]]</f>
        <v>64.900000000000006</v>
      </c>
      <c r="O164" s="20">
        <f>IF(L164="", "", Indented_BoM[[#This Row],[Part '[hh:mm']]]*Indented_BoM[[#This Row],[Total]])</f>
        <v>0</v>
      </c>
      <c r="P164">
        <f t="shared" si="5"/>
        <v>3</v>
      </c>
    </row>
    <row r="165" spans="1:16" outlineLevel="1" x14ac:dyDescent="0.25">
      <c r="C165" s="15" t="s">
        <v>289</v>
      </c>
      <c r="F165" s="2" t="s">
        <v>71</v>
      </c>
      <c r="G165" t="str">
        <f>_xlfn.XLOOKUP(Indented_BoM[[#This Row],[Part Number]], Catalogue_Components[Part Number], Catalogue_Components[Descriptive Name], "Component not found!")</f>
        <v>Terminal Block</v>
      </c>
      <c r="H165" t="str">
        <f>_xlfn.XLOOKUP(Indented_BoM[[#This Row],[Part Number]], Catalogue_Components[Part Number], Catalogue_Components[Manufacturer], "-")</f>
        <v>WAGO</v>
      </c>
      <c r="I165" s="16">
        <v>3</v>
      </c>
      <c r="J165" s="16">
        <f>Indented_BoM[[#This Row],[Part]]*$J$154</f>
        <v>3</v>
      </c>
      <c r="K165" s="21">
        <f>_xlfn.XLOOKUP(Indented_BoM[[#This Row],[Part Number]], Catalogue_Components[Part Number], Catalogue_Components[Price Per Unit], "")</f>
        <v>7.86</v>
      </c>
      <c r="L165" s="20">
        <f>_xlfn.XLOOKUP(Indented_BoM[[#This Row],[Part Number]], Catalogue_Components[Part Number], Catalogue_Components[Print Time], "")</f>
        <v>0</v>
      </c>
      <c r="M165" s="14"/>
      <c r="N165" s="22">
        <f>Indented_BoM[[#This Row],[Part '[CHF']]]*Indented_BoM[[#This Row],[Total]]</f>
        <v>23.580000000000002</v>
      </c>
      <c r="O165" s="20">
        <f>IF(L165="", "", Indented_BoM[[#This Row],[Part '[hh:mm']]]*Indented_BoM[[#This Row],[Total]])</f>
        <v>0</v>
      </c>
      <c r="P165">
        <f t="shared" si="5"/>
        <v>3</v>
      </c>
    </row>
    <row r="166" spans="1:16" outlineLevel="1" x14ac:dyDescent="0.25">
      <c r="C166" s="15" t="s">
        <v>289</v>
      </c>
      <c r="F166" s="2" t="s">
        <v>284</v>
      </c>
      <c r="G166" t="str">
        <f>_xlfn.XLOOKUP(Indented_BoM[[#This Row],[Part Number]], Catalogue_Components[Part Number], Catalogue_Components[Descriptive Name], "Component not found!")</f>
        <v xml:space="preserve">LED Driver </v>
      </c>
      <c r="H166" t="str">
        <f>_xlfn.XLOOKUP(Indented_BoM[[#This Row],[Part Number]], Catalogue_Components[Part Number], Catalogue_Components[Manufacturer], "-")</f>
        <v>Bridgelux</v>
      </c>
      <c r="I166" s="16">
        <v>1</v>
      </c>
      <c r="J166" s="16">
        <f>Indented_BoM[[#This Row],[Part]]*$J$154</f>
        <v>1</v>
      </c>
      <c r="K166" s="21">
        <f>_xlfn.XLOOKUP(Indented_BoM[[#This Row],[Part Number]], Catalogue_Components[Part Number], Catalogue_Components[Price Per Unit], "")</f>
        <v>29.48</v>
      </c>
      <c r="L166" s="20">
        <f>_xlfn.XLOOKUP(Indented_BoM[[#This Row],[Part Number]], Catalogue_Components[Part Number], Catalogue_Components[Print Time], "")</f>
        <v>0</v>
      </c>
      <c r="M166" s="14"/>
      <c r="N166" s="22">
        <f>Indented_BoM[[#This Row],[Part '[CHF']]]*Indented_BoM[[#This Row],[Total]]</f>
        <v>29.48</v>
      </c>
      <c r="O166" s="20">
        <f>IF(L166="", "", Indented_BoM[[#This Row],[Part '[hh:mm']]]*Indented_BoM[[#This Row],[Total]])</f>
        <v>0</v>
      </c>
      <c r="P166">
        <f t="shared" si="5"/>
        <v>3</v>
      </c>
    </row>
    <row r="167" spans="1:16" outlineLevel="1" x14ac:dyDescent="0.25">
      <c r="C167" s="15" t="s">
        <v>289</v>
      </c>
      <c r="F167" s="2" t="s">
        <v>241</v>
      </c>
      <c r="G167" t="str">
        <f>_xlfn.XLOOKUP(Indented_BoM[[#This Row],[Part Number]], Catalogue_Components[Part Number], Catalogue_Components[Descriptive Name], "Component not found!")</f>
        <v>M5x8 Screw Hex Socket</v>
      </c>
      <c r="H167" t="str">
        <f>_xlfn.XLOOKUP(Indented_BoM[[#This Row],[Part Number]], Catalogue_Components[Part Number], Catalogue_Components[Manufacturer], "-")</f>
        <v>Bossard</v>
      </c>
      <c r="I167" s="16">
        <v>9</v>
      </c>
      <c r="J167" s="16">
        <f>Indented_BoM[[#This Row],[Part]]*$J$154</f>
        <v>9</v>
      </c>
      <c r="K167" s="21">
        <f>_xlfn.XLOOKUP(Indented_BoM[[#This Row],[Part Number]], Catalogue_Components[Part Number], Catalogue_Components[Price Per Unit], "")</f>
        <v>0.20499999999999999</v>
      </c>
      <c r="L167" s="20">
        <f>_xlfn.XLOOKUP(Indented_BoM[[#This Row],[Part Number]], Catalogue_Components[Part Number], Catalogue_Components[Print Time], "")</f>
        <v>0</v>
      </c>
      <c r="M167" s="14"/>
      <c r="N167" s="22">
        <f>Indented_BoM[[#This Row],[Part '[CHF']]]*Indented_BoM[[#This Row],[Total]]</f>
        <v>1.845</v>
      </c>
      <c r="O167" s="20">
        <f>IF(L167="", "", Indented_BoM[[#This Row],[Part '[hh:mm']]]*Indented_BoM[[#This Row],[Total]])</f>
        <v>0</v>
      </c>
      <c r="P167">
        <f t="shared" si="5"/>
        <v>3</v>
      </c>
    </row>
    <row r="168" spans="1:16" outlineLevel="1" x14ac:dyDescent="0.25">
      <c r="C168" s="15" t="s">
        <v>289</v>
      </c>
      <c r="F168" s="2" t="s">
        <v>327</v>
      </c>
      <c r="G168" t="str">
        <f>_xlfn.XLOOKUP(Indented_BoM[[#This Row],[Part Number]], Catalogue_Components[Part Number], Catalogue_Components[Descriptive Name], "Component not found!")</f>
        <v>Flat Washer M5</v>
      </c>
      <c r="H168" t="str">
        <f>_xlfn.XLOOKUP(Indented_BoM[[#This Row],[Part Number]], Catalogue_Components[Part Number], Catalogue_Components[Manufacturer], "-")</f>
        <v>Bossard</v>
      </c>
      <c r="I168" s="16">
        <v>9</v>
      </c>
      <c r="J168" s="16">
        <f>Indented_BoM[[#This Row],[Part]]*$J$154</f>
        <v>9</v>
      </c>
      <c r="K168" s="21">
        <f>_xlfn.XLOOKUP(Indented_BoM[[#This Row],[Part Number]], Catalogue_Components[Part Number], Catalogue_Components[Price Per Unit], "")</f>
        <v>4.2000000000000003E-2</v>
      </c>
      <c r="L168" s="20">
        <f>_xlfn.XLOOKUP(Indented_BoM[[#This Row],[Part Number]], Catalogue_Components[Part Number], Catalogue_Components[Print Time], "")</f>
        <v>0</v>
      </c>
      <c r="M168" s="14"/>
      <c r="N168" s="22">
        <f>Indented_BoM[[#This Row],[Part '[CHF']]]*Indented_BoM[[#This Row],[Total]]</f>
        <v>0.378</v>
      </c>
      <c r="O168" s="20">
        <f>IF(L168="", "", Indented_BoM[[#This Row],[Part '[hh:mm']]]*Indented_BoM[[#This Row],[Total]])</f>
        <v>0</v>
      </c>
      <c r="P168">
        <f t="shared" si="5"/>
        <v>3</v>
      </c>
    </row>
    <row r="170" spans="1:16" x14ac:dyDescent="0.25">
      <c r="A170" s="26" t="s">
        <v>360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2" spans="1:16" x14ac:dyDescent="0.25">
      <c r="A172" s="25" t="s">
        <v>286</v>
      </c>
      <c r="B172" s="25"/>
      <c r="C172" s="25"/>
      <c r="D172" s="25"/>
      <c r="E172" s="25"/>
      <c r="F172" s="17"/>
      <c r="G172" s="17"/>
      <c r="H172" s="17"/>
      <c r="I172" s="25" t="s">
        <v>41</v>
      </c>
      <c r="J172" s="25"/>
      <c r="K172" s="25" t="s">
        <v>333</v>
      </c>
      <c r="L172" s="25"/>
      <c r="M172" s="17"/>
      <c r="N172" s="25" t="s">
        <v>285</v>
      </c>
      <c r="O172" s="25"/>
      <c r="P172" s="17" t="s">
        <v>337</v>
      </c>
    </row>
    <row r="173" spans="1:16" x14ac:dyDescent="0.25">
      <c r="A173" s="23" t="s">
        <v>290</v>
      </c>
      <c r="B173" s="23" t="s">
        <v>291</v>
      </c>
      <c r="C173" s="23" t="s">
        <v>292</v>
      </c>
      <c r="D173" s="23" t="s">
        <v>293</v>
      </c>
      <c r="E173" s="23" t="s">
        <v>301</v>
      </c>
      <c r="F173" s="23" t="s">
        <v>0</v>
      </c>
      <c r="G173" s="23" t="s">
        <v>1</v>
      </c>
      <c r="H173" s="23" t="s">
        <v>2</v>
      </c>
      <c r="I173" s="23" t="s">
        <v>328</v>
      </c>
      <c r="J173" s="23" t="s">
        <v>261</v>
      </c>
      <c r="K173" s="23" t="s">
        <v>329</v>
      </c>
      <c r="L173" s="23" t="s">
        <v>334</v>
      </c>
      <c r="M173" s="23" t="s">
        <v>330</v>
      </c>
      <c r="N173" s="23" t="s">
        <v>335</v>
      </c>
      <c r="O173" s="23" t="s">
        <v>336</v>
      </c>
      <c r="P173" s="23" t="s">
        <v>338</v>
      </c>
    </row>
    <row r="174" spans="1:16" x14ac:dyDescent="0.25">
      <c r="A174" s="15" t="s">
        <v>289</v>
      </c>
      <c r="F174" s="24" t="s">
        <v>363</v>
      </c>
      <c r="G174" t="str">
        <f>_xlfn.XLOOKUP(Table1[[#This Row],[Part Number]], Catalogue_Components[Part Number], Catalogue_Components[Descriptive Name], "Component not found!")</f>
        <v>Sensing Assembly</v>
      </c>
      <c r="H174" t="str">
        <f>_xlfn.XLOOKUP(Table1[[#This Row],[Part Number]], Catalogue_Components[Part Number], Catalogue_Components[Manufacturer], "-")</f>
        <v>Custom</v>
      </c>
      <c r="I174">
        <v>1</v>
      </c>
      <c r="J174">
        <f>Table1[[#This Row],[Part]]</f>
        <v>1</v>
      </c>
      <c r="K174" s="21">
        <f>_xlfn.XLOOKUP(Table1[[#This Row],[Part Number]], Catalogue_Components[Part Number], Catalogue_Components[Price Per Unit], "")</f>
        <v>0</v>
      </c>
      <c r="L174" s="20">
        <f>_xlfn.XLOOKUP(Table1[[#This Row],[Part Number]], Catalogue_Components[Part Number], Catalogue_Components[Print Time], "")</f>
        <v>0</v>
      </c>
      <c r="P174">
        <f t="shared" ref="P174:P209" si="6">MATCH("x",A174:E174,0)</f>
        <v>1</v>
      </c>
    </row>
    <row r="175" spans="1:16" x14ac:dyDescent="0.25">
      <c r="B175" s="15" t="s">
        <v>289</v>
      </c>
      <c r="F175" s="24" t="s">
        <v>364</v>
      </c>
      <c r="G175" t="str">
        <f>_xlfn.XLOOKUP(Table1[[#This Row],[Part Number]], Catalogue_Components[Part Number], Catalogue_Components[Descriptive Name], "Component not found!")</f>
        <v>Sensing Baseplate</v>
      </c>
      <c r="H175" t="str">
        <f>_xlfn.XLOOKUP(Table1[[#This Row],[Part Number]], Catalogue_Components[Part Number], Catalogue_Components[Manufacturer], "-")</f>
        <v>Custom</v>
      </c>
      <c r="I175">
        <v>1</v>
      </c>
      <c r="J175">
        <f>Table1[[#This Row],[Part]]*$J$174</f>
        <v>1</v>
      </c>
      <c r="K175" s="21">
        <f>_xlfn.XLOOKUP(Table1[[#This Row],[Part Number]], Catalogue_Components[Part Number], Catalogue_Components[Price Per Unit], "")</f>
        <v>0</v>
      </c>
      <c r="L175" s="20">
        <f>_xlfn.XLOOKUP(Table1[[#This Row],[Part Number]], Catalogue_Components[Part Number], Catalogue_Components[Print Time], "")</f>
        <v>0</v>
      </c>
      <c r="P175">
        <f t="shared" si="6"/>
        <v>2</v>
      </c>
    </row>
    <row r="176" spans="1:16" x14ac:dyDescent="0.25">
      <c r="B176" s="15" t="s">
        <v>289</v>
      </c>
      <c r="F176" s="24" t="s">
        <v>365</v>
      </c>
      <c r="G176" t="str">
        <f>_xlfn.XLOOKUP(Table1[[#This Row],[Part Number]], Catalogue_Components[Part Number], Catalogue_Components[Descriptive Name], "Component not found!")</f>
        <v>Sensing Frame</v>
      </c>
      <c r="H176" t="str">
        <f>_xlfn.XLOOKUP(Table1[[#This Row],[Part Number]], Catalogue_Components[Part Number], Catalogue_Components[Manufacturer], "-")</f>
        <v>Custom</v>
      </c>
      <c r="I176">
        <v>1</v>
      </c>
      <c r="J176">
        <f>Table1[[#This Row],[Part]]*$J$174</f>
        <v>1</v>
      </c>
      <c r="K176" s="21">
        <f>_xlfn.XLOOKUP(Table1[[#This Row],[Part Number]], Catalogue_Components[Part Number], Catalogue_Components[Price Per Unit], "")</f>
        <v>0</v>
      </c>
      <c r="L176" s="20">
        <f>_xlfn.XLOOKUP(Table1[[#This Row],[Part Number]], Catalogue_Components[Part Number], Catalogue_Components[Print Time], "")</f>
        <v>0</v>
      </c>
      <c r="P176">
        <f t="shared" si="6"/>
        <v>2</v>
      </c>
    </row>
    <row r="177" spans="2:16" x14ac:dyDescent="0.25">
      <c r="B177" s="15" t="s">
        <v>289</v>
      </c>
      <c r="F177" s="24" t="s">
        <v>366</v>
      </c>
      <c r="G177" t="str">
        <f>_xlfn.XLOOKUP(Table1[[#This Row],[Part Number]], Catalogue_Components[Part Number], Catalogue_Components[Descriptive Name], "Component not found!")</f>
        <v>Sensing Adapter Plate</v>
      </c>
      <c r="H177" t="str">
        <f>_xlfn.XLOOKUP(Table1[[#This Row],[Part Number]], Catalogue_Components[Part Number], Catalogue_Components[Manufacturer], "-")</f>
        <v>Custom</v>
      </c>
      <c r="I177">
        <v>1</v>
      </c>
      <c r="J177">
        <f>Table1[[#This Row],[Part]]*$J$174</f>
        <v>1</v>
      </c>
      <c r="K177" s="21">
        <f>_xlfn.XLOOKUP(Table1[[#This Row],[Part Number]], Catalogue_Components[Part Number], Catalogue_Components[Price Per Unit], "")</f>
        <v>0</v>
      </c>
      <c r="L177" s="20">
        <f>_xlfn.XLOOKUP(Table1[[#This Row],[Part Number]], Catalogue_Components[Part Number], Catalogue_Components[Print Time], "")</f>
        <v>0</v>
      </c>
      <c r="P177">
        <f t="shared" si="6"/>
        <v>2</v>
      </c>
    </row>
    <row r="178" spans="2:16" x14ac:dyDescent="0.25">
      <c r="B178" s="15" t="s">
        <v>289</v>
      </c>
      <c r="F178" s="24" t="s">
        <v>367</v>
      </c>
      <c r="G178" t="str">
        <f>_xlfn.XLOOKUP(Table1[[#This Row],[Part Number]], Catalogue_Components[Part Number], Catalogue_Components[Descriptive Name], "Component not found!")</f>
        <v>Sensing Cylinder</v>
      </c>
      <c r="H178" t="str">
        <f>_xlfn.XLOOKUP(Table1[[#This Row],[Part Number]], Catalogue_Components[Part Number], Catalogue_Components[Manufacturer], "-")</f>
        <v>Custom</v>
      </c>
      <c r="I178">
        <v>3</v>
      </c>
      <c r="J178">
        <f>Table1[[#This Row],[Part]]*$J$174</f>
        <v>3</v>
      </c>
      <c r="K178" s="21">
        <f>_xlfn.XLOOKUP(Table1[[#This Row],[Part Number]], Catalogue_Components[Part Number], Catalogue_Components[Price Per Unit], "")</f>
        <v>0</v>
      </c>
      <c r="L178" s="20">
        <f>_xlfn.XLOOKUP(Table1[[#This Row],[Part Number]], Catalogue_Components[Part Number], Catalogue_Components[Print Time], "")</f>
        <v>3.888888888888889E-2</v>
      </c>
      <c r="P178">
        <f t="shared" si="6"/>
        <v>2</v>
      </c>
    </row>
    <row r="179" spans="2:16" x14ac:dyDescent="0.25">
      <c r="C179" s="15" t="s">
        <v>289</v>
      </c>
      <c r="F179" s="24" t="s">
        <v>186</v>
      </c>
      <c r="G179" t="str">
        <f>_xlfn.XLOOKUP(Table1[[#This Row],[Part Number]], Catalogue_Components[Part Number], Catalogue_Components[Descriptive Name], "Component not found!")</f>
        <v>Electric Motor</v>
      </c>
      <c r="H179" t="str">
        <f>_xlfn.XLOOKUP(Table1[[#This Row],[Part Number]], Catalogue_Components[Part Number], Catalogue_Components[Manufacturer], "-")</f>
        <v xml:space="preserve">MyActuator </v>
      </c>
      <c r="I179">
        <v>1</v>
      </c>
      <c r="J179">
        <f>Table1[[#This Row],[Part]]*$J$178</f>
        <v>3</v>
      </c>
      <c r="K179" s="21">
        <f>_xlfn.XLOOKUP(Table1[[#This Row],[Part Number]], Catalogue_Components[Part Number], Catalogue_Components[Price Per Unit], "")</f>
        <v>67.069999999999993</v>
      </c>
      <c r="L179" s="20">
        <f>_xlfn.XLOOKUP(Table1[[#This Row],[Part Number]], Catalogue_Components[Part Number], Catalogue_Components[Print Time], "")</f>
        <v>0</v>
      </c>
      <c r="P179">
        <f t="shared" si="6"/>
        <v>3</v>
      </c>
    </row>
    <row r="180" spans="2:16" x14ac:dyDescent="0.25">
      <c r="C180" s="15" t="s">
        <v>289</v>
      </c>
      <c r="F180" s="24" t="s">
        <v>16</v>
      </c>
      <c r="G180" t="str">
        <f>_xlfn.XLOOKUP(Table1[[#This Row],[Part Number]], Catalogue_Components[Part Number], Catalogue_Components[Descriptive Name], "Component not found!")</f>
        <v>M3x8 Screw Hex Socket</v>
      </c>
      <c r="H180" t="str">
        <f>_xlfn.XLOOKUP(Table1[[#This Row],[Part Number]], Catalogue_Components[Part Number], Catalogue_Components[Manufacturer], "-")</f>
        <v>Bossard</v>
      </c>
      <c r="I180">
        <v>4</v>
      </c>
      <c r="J180">
        <f>Table1[[#This Row],[Part]]*$J$178</f>
        <v>12</v>
      </c>
      <c r="K180" s="21">
        <f>_xlfn.XLOOKUP(Table1[[#This Row],[Part Number]], Catalogue_Components[Part Number], Catalogue_Components[Price Per Unit], "")</f>
        <v>0.188</v>
      </c>
      <c r="L180" s="20">
        <f>_xlfn.XLOOKUP(Table1[[#This Row],[Part Number]], Catalogue_Components[Part Number], Catalogue_Components[Print Time], "")</f>
        <v>0</v>
      </c>
      <c r="P180">
        <f t="shared" si="6"/>
        <v>3</v>
      </c>
    </row>
    <row r="181" spans="2:16" x14ac:dyDescent="0.25">
      <c r="C181" s="15" t="s">
        <v>289</v>
      </c>
      <c r="F181" s="24" t="s">
        <v>24</v>
      </c>
      <c r="G181" t="str">
        <f>_xlfn.XLOOKUP(Table1[[#This Row],[Part Number]], Catalogue_Components[Part Number], Catalogue_Components[Descriptive Name], "Component not found!")</f>
        <v>Flat Washer M3</v>
      </c>
      <c r="H181" t="str">
        <f>_xlfn.XLOOKUP(Table1[[#This Row],[Part Number]], Catalogue_Components[Part Number], Catalogue_Components[Manufacturer], "-")</f>
        <v>Bossard</v>
      </c>
      <c r="I181">
        <v>4</v>
      </c>
      <c r="J181">
        <f>Table1[[#This Row],[Part]]*$J$178</f>
        <v>12</v>
      </c>
      <c r="K181" s="21">
        <f>_xlfn.XLOOKUP(Table1[[#This Row],[Part Number]], Catalogue_Components[Part Number], Catalogue_Components[Price Per Unit], "")</f>
        <v>3.2000000000000001E-2</v>
      </c>
      <c r="L181" s="20">
        <f>_xlfn.XLOOKUP(Table1[[#This Row],[Part Number]], Catalogue_Components[Part Number], Catalogue_Components[Print Time], "")</f>
        <v>0</v>
      </c>
      <c r="P181">
        <f t="shared" si="6"/>
        <v>3</v>
      </c>
    </row>
    <row r="182" spans="2:16" x14ac:dyDescent="0.25">
      <c r="B182" s="15" t="s">
        <v>289</v>
      </c>
      <c r="F182" s="24" t="s">
        <v>219</v>
      </c>
      <c r="G182" t="str">
        <f>_xlfn.XLOOKUP(Table1[[#This Row],[Part Number]], Catalogue_Components[Part Number], Catalogue_Components[Descriptive Name], "Component not found!")</f>
        <v>M2.5x5 Hex Socket Screw</v>
      </c>
      <c r="H182" t="str">
        <f>_xlfn.XLOOKUP(Table1[[#This Row],[Part Number]], Catalogue_Components[Part Number], Catalogue_Components[Manufacturer], "-")</f>
        <v>Bossard</v>
      </c>
      <c r="I182">
        <v>12</v>
      </c>
      <c r="J182">
        <f>Table1[[#This Row],[Part]]*$J$174</f>
        <v>12</v>
      </c>
      <c r="K182" s="21">
        <f>_xlfn.XLOOKUP(Table1[[#This Row],[Part Number]], Catalogue_Components[Part Number], Catalogue_Components[Price Per Unit], "")</f>
        <v>0.157</v>
      </c>
      <c r="L182" s="20">
        <f>_xlfn.XLOOKUP(Table1[[#This Row],[Part Number]], Catalogue_Components[Part Number], Catalogue_Components[Print Time], "")</f>
        <v>0</v>
      </c>
      <c r="P182">
        <f t="shared" si="6"/>
        <v>2</v>
      </c>
    </row>
    <row r="183" spans="2:16" x14ac:dyDescent="0.25">
      <c r="B183" s="15" t="s">
        <v>289</v>
      </c>
      <c r="F183" s="24" t="s">
        <v>368</v>
      </c>
      <c r="G183" t="str">
        <f>_xlfn.XLOOKUP(Table1[[#This Row],[Part Number]], Catalogue_Components[Part Number], Catalogue_Components[Descriptive Name], "Component not found!")</f>
        <v>PCB Holder</v>
      </c>
      <c r="H183" t="str">
        <f>_xlfn.XLOOKUP(Table1[[#This Row],[Part Number]], Catalogue_Components[Part Number], Catalogue_Components[Manufacturer], "-")</f>
        <v>Custom</v>
      </c>
      <c r="I183">
        <v>3</v>
      </c>
      <c r="J183">
        <f>Table1[[#This Row],[Part]]*$J$174</f>
        <v>3</v>
      </c>
      <c r="K183" s="21">
        <f>_xlfn.XLOOKUP(Table1[[#This Row],[Part Number]], Catalogue_Components[Part Number], Catalogue_Components[Price Per Unit], "")</f>
        <v>0</v>
      </c>
      <c r="L183" s="20">
        <f>_xlfn.XLOOKUP(Table1[[#This Row],[Part Number]], Catalogue_Components[Part Number], Catalogue_Components[Print Time], "")</f>
        <v>4.8611111111111112E-3</v>
      </c>
      <c r="P183">
        <f t="shared" si="6"/>
        <v>2</v>
      </c>
    </row>
    <row r="184" spans="2:16" x14ac:dyDescent="0.25">
      <c r="C184" s="15" t="s">
        <v>289</v>
      </c>
      <c r="F184" s="24" t="s">
        <v>369</v>
      </c>
      <c r="G184" t="str">
        <f>_xlfn.XLOOKUP(Table1[[#This Row],[Part Number]], Catalogue_Components[Part Number], Catalogue_Components[Descriptive Name], "Component not found!")</f>
        <v>Motor BUS PCB Assembly</v>
      </c>
      <c r="H184" t="str">
        <f>_xlfn.XLOOKUP(Table1[[#This Row],[Part Number]], Catalogue_Components[Part Number], Catalogue_Components[Manufacturer], "-")</f>
        <v>Custom</v>
      </c>
      <c r="I184">
        <v>1</v>
      </c>
      <c r="J184">
        <f>Table1[[#This Row],[Part]]*$J$183</f>
        <v>3</v>
      </c>
      <c r="K184" s="21">
        <f>_xlfn.XLOOKUP(Table1[[#This Row],[Part Number]], Catalogue_Components[Part Number], Catalogue_Components[Price Per Unit], "")</f>
        <v>0</v>
      </c>
      <c r="L184" s="20">
        <f>_xlfn.XLOOKUP(Table1[[#This Row],[Part Number]], Catalogue_Components[Part Number], Catalogue_Components[Print Time], "")</f>
        <v>0</v>
      </c>
      <c r="P184">
        <f t="shared" si="6"/>
        <v>3</v>
      </c>
    </row>
    <row r="185" spans="2:16" x14ac:dyDescent="0.25">
      <c r="D185" s="15" t="s">
        <v>289</v>
      </c>
      <c r="F185" s="24">
        <v>430450420</v>
      </c>
      <c r="G185" t="str">
        <f>_xlfn.XLOOKUP(Table1[[#This Row],[Part Number]], Catalogue_Components[Part Number], Catalogue_Components[Descriptive Name], "Component not found!")</f>
        <v>Connector PCB MicroFit 2x2 Socket</v>
      </c>
      <c r="H185" t="str">
        <f>_xlfn.XLOOKUP(Table1[[#This Row],[Part Number]], Catalogue_Components[Part Number], Catalogue_Components[Manufacturer], "-")</f>
        <v>Molex</v>
      </c>
      <c r="I185">
        <v>2</v>
      </c>
      <c r="J185">
        <f>Table1[[#This Row],[Part]]*$J$184</f>
        <v>6</v>
      </c>
      <c r="K185" s="21">
        <f>_xlfn.XLOOKUP(Table1[[#This Row],[Part Number]], Catalogue_Components[Part Number], Catalogue_Components[Price Per Unit], "")</f>
        <v>2.3199999999999998</v>
      </c>
      <c r="L185" s="20">
        <f>_xlfn.XLOOKUP(Table1[[#This Row],[Part Number]], Catalogue_Components[Part Number], Catalogue_Components[Print Time], "")</f>
        <v>0</v>
      </c>
      <c r="P185">
        <f t="shared" si="6"/>
        <v>4</v>
      </c>
    </row>
    <row r="186" spans="2:16" x14ac:dyDescent="0.25">
      <c r="D186" s="15" t="s">
        <v>289</v>
      </c>
      <c r="F186" s="24" t="s">
        <v>238</v>
      </c>
      <c r="G186" t="str">
        <f>_xlfn.XLOOKUP(Table1[[#This Row],[Part Number]], Catalogue_Components[Part Number], Catalogue_Components[Descriptive Name], "Component not found!")</f>
        <v>Connector 1x6 Socket</v>
      </c>
      <c r="H186" t="str">
        <f>_xlfn.XLOOKUP(Table1[[#This Row],[Part Number]], Catalogue_Components[Part Number], Catalogue_Components[Manufacturer], "-")</f>
        <v>JST</v>
      </c>
      <c r="I186">
        <v>1</v>
      </c>
      <c r="J186">
        <f>Table1[[#This Row],[Part]]*$J$184</f>
        <v>3</v>
      </c>
      <c r="K186" s="21">
        <f>_xlfn.XLOOKUP(Table1[[#This Row],[Part Number]], Catalogue_Components[Part Number], Catalogue_Components[Price Per Unit], "")</f>
        <v>0.36</v>
      </c>
      <c r="L186" s="20">
        <f>_xlfn.XLOOKUP(Table1[[#This Row],[Part Number]], Catalogue_Components[Part Number], Catalogue_Components[Print Time], "")</f>
        <v>0</v>
      </c>
      <c r="P186">
        <f t="shared" si="6"/>
        <v>4</v>
      </c>
    </row>
    <row r="187" spans="2:16" x14ac:dyDescent="0.25">
      <c r="B187" s="15" t="s">
        <v>289</v>
      </c>
      <c r="F187" s="24" t="s">
        <v>24</v>
      </c>
      <c r="G187" t="str">
        <f>_xlfn.XLOOKUP(Table1[[#This Row],[Part Number]], Catalogue_Components[Part Number], Catalogue_Components[Descriptive Name], "Component not found!")</f>
        <v>Flat Washer M3</v>
      </c>
      <c r="H187" t="str">
        <f>_xlfn.XLOOKUP(Table1[[#This Row],[Part Number]], Catalogue_Components[Part Number], Catalogue_Components[Manufacturer], "-")</f>
        <v>Bossard</v>
      </c>
      <c r="I187">
        <v>16</v>
      </c>
      <c r="J187">
        <f>Table1[[#This Row],[Part]]*$J$174</f>
        <v>16</v>
      </c>
      <c r="K187" s="21">
        <f>_xlfn.XLOOKUP(Table1[[#This Row],[Part Number]], Catalogue_Components[Part Number], Catalogue_Components[Price Per Unit], "")</f>
        <v>3.2000000000000001E-2</v>
      </c>
      <c r="L187" s="20">
        <f>_xlfn.XLOOKUP(Table1[[#This Row],[Part Number]], Catalogue_Components[Part Number], Catalogue_Components[Print Time], "")</f>
        <v>0</v>
      </c>
      <c r="P187">
        <f t="shared" si="6"/>
        <v>2</v>
      </c>
    </row>
    <row r="188" spans="2:16" x14ac:dyDescent="0.25">
      <c r="B188" s="15" t="s">
        <v>289</v>
      </c>
      <c r="F188" s="24" t="s">
        <v>16</v>
      </c>
      <c r="G188" t="str">
        <f>_xlfn.XLOOKUP(Table1[[#This Row],[Part Number]], Catalogue_Components[Part Number], Catalogue_Components[Descriptive Name], "Component not found!")</f>
        <v>M3x8 Screw Hex Socket</v>
      </c>
      <c r="H188" t="str">
        <f>_xlfn.XLOOKUP(Table1[[#This Row],[Part Number]], Catalogue_Components[Part Number], Catalogue_Components[Manufacturer], "-")</f>
        <v>Bossard</v>
      </c>
      <c r="I188">
        <v>16</v>
      </c>
      <c r="J188">
        <f>Table1[[#This Row],[Part]]*$J$174</f>
        <v>16</v>
      </c>
      <c r="K188" s="21">
        <f>_xlfn.XLOOKUP(Table1[[#This Row],[Part Number]], Catalogue_Components[Part Number], Catalogue_Components[Price Per Unit], "")</f>
        <v>0.188</v>
      </c>
      <c r="L188" s="20">
        <f>_xlfn.XLOOKUP(Table1[[#This Row],[Part Number]], Catalogue_Components[Part Number], Catalogue_Components[Print Time], "")</f>
        <v>0</v>
      </c>
      <c r="P188">
        <f t="shared" si="6"/>
        <v>2</v>
      </c>
    </row>
    <row r="189" spans="2:16" x14ac:dyDescent="0.25">
      <c r="B189" s="15" t="s">
        <v>289</v>
      </c>
      <c r="F189" s="24" t="s">
        <v>370</v>
      </c>
      <c r="G189" t="str">
        <f>_xlfn.XLOOKUP(Table1[[#This Row],[Part Number]], Catalogue_Components[Part Number], Catalogue_Components[Descriptive Name], "Component not found!")</f>
        <v>Torque Sensor TD70 Assembly</v>
      </c>
      <c r="H189" t="str">
        <f>_xlfn.XLOOKUP(Table1[[#This Row],[Part Number]], Catalogue_Components[Part Number], Catalogue_Components[Manufacturer], "-")</f>
        <v>Custom</v>
      </c>
      <c r="I189">
        <v>1</v>
      </c>
      <c r="J189">
        <f>Table1[[#This Row],[Part]]*$J$174</f>
        <v>1</v>
      </c>
      <c r="K189" s="21">
        <f>_xlfn.XLOOKUP(Table1[[#This Row],[Part Number]], Catalogue_Components[Part Number], Catalogue_Components[Price Per Unit], "")</f>
        <v>0</v>
      </c>
      <c r="L189" s="20">
        <f>_xlfn.XLOOKUP(Table1[[#This Row],[Part Number]], Catalogue_Components[Part Number], Catalogue_Components[Print Time], "")</f>
        <v>0</v>
      </c>
      <c r="P189">
        <f t="shared" si="6"/>
        <v>2</v>
      </c>
    </row>
    <row r="190" spans="2:16" x14ac:dyDescent="0.25">
      <c r="C190" s="15" t="s">
        <v>289</v>
      </c>
      <c r="F190" s="24" t="s">
        <v>371</v>
      </c>
      <c r="G190" t="str">
        <f>_xlfn.XLOOKUP(Table1[[#This Row],[Part Number]], Catalogue_Components[Part Number], Catalogue_Components[Descriptive Name], "Component not found!")</f>
        <v>Torque Sensor Tub TD70</v>
      </c>
      <c r="H190" t="str">
        <f>_xlfn.XLOOKUP(Table1[[#This Row],[Part Number]], Catalogue_Components[Part Number], Catalogue_Components[Manufacturer], "-")</f>
        <v>Custom</v>
      </c>
      <c r="I190">
        <v>1</v>
      </c>
      <c r="J190">
        <f>Table1[[#This Row],[Part]]*$J$189</f>
        <v>1</v>
      </c>
      <c r="K190" s="21">
        <f>_xlfn.XLOOKUP(Table1[[#This Row],[Part Number]], Catalogue_Components[Part Number], Catalogue_Components[Price Per Unit], "")</f>
        <v>0</v>
      </c>
      <c r="L190" s="20">
        <f>_xlfn.XLOOKUP(Table1[[#This Row],[Part Number]], Catalogue_Components[Part Number], Catalogue_Components[Print Time], "")</f>
        <v>0</v>
      </c>
      <c r="P190">
        <f t="shared" si="6"/>
        <v>3</v>
      </c>
    </row>
    <row r="191" spans="2:16" x14ac:dyDescent="0.25">
      <c r="C191" s="15" t="s">
        <v>289</v>
      </c>
      <c r="F191" s="24" t="s">
        <v>372</v>
      </c>
      <c r="G191" t="str">
        <f>_xlfn.XLOOKUP(Table1[[#This Row],[Part Number]], Catalogue_Components[Part Number], Catalogue_Components[Descriptive Name], "Component not found!")</f>
        <v>Torque Sensor Holder TD70</v>
      </c>
      <c r="H191" t="str">
        <f>_xlfn.XLOOKUP(Table1[[#This Row],[Part Number]], Catalogue_Components[Part Number], Catalogue_Components[Manufacturer], "-")</f>
        <v>Custom</v>
      </c>
      <c r="I191">
        <v>1</v>
      </c>
      <c r="J191">
        <f>Table1[[#This Row],[Part]]*$J$189</f>
        <v>1</v>
      </c>
      <c r="K191" s="21">
        <f>_xlfn.XLOOKUP(Table1[[#This Row],[Part Number]], Catalogue_Components[Part Number], Catalogue_Components[Price Per Unit], "")</f>
        <v>0</v>
      </c>
      <c r="L191" s="20">
        <f>_xlfn.XLOOKUP(Table1[[#This Row],[Part Number]], Catalogue_Components[Part Number], Catalogue_Components[Print Time], "")</f>
        <v>0</v>
      </c>
      <c r="P191">
        <f t="shared" si="6"/>
        <v>3</v>
      </c>
    </row>
    <row r="192" spans="2:16" x14ac:dyDescent="0.25">
      <c r="C192" s="15" t="s">
        <v>289</v>
      </c>
      <c r="F192" s="24" t="s">
        <v>373</v>
      </c>
      <c r="G192" t="str">
        <f>_xlfn.XLOOKUP(Table1[[#This Row],[Part Number]], Catalogue_Components[Part Number], Catalogue_Components[Descriptive Name], "Component not found!")</f>
        <v>Torque Sensor Axle TD70</v>
      </c>
      <c r="H192" t="str">
        <f>_xlfn.XLOOKUP(Table1[[#This Row],[Part Number]], Catalogue_Components[Part Number], Catalogue_Components[Manufacturer], "-")</f>
        <v>Custom</v>
      </c>
      <c r="I192">
        <v>1</v>
      </c>
      <c r="J192">
        <f>Table1[[#This Row],[Part]]*$J$189</f>
        <v>1</v>
      </c>
      <c r="K192" s="21">
        <f>_xlfn.XLOOKUP(Table1[[#This Row],[Part Number]], Catalogue_Components[Part Number], Catalogue_Components[Price Per Unit], "")</f>
        <v>0</v>
      </c>
      <c r="L192" s="20">
        <f>_xlfn.XLOOKUP(Table1[[#This Row],[Part Number]], Catalogue_Components[Part Number], Catalogue_Components[Print Time], "")</f>
        <v>0</v>
      </c>
      <c r="P192">
        <f t="shared" si="6"/>
        <v>3</v>
      </c>
    </row>
    <row r="193" spans="2:16" x14ac:dyDescent="0.25">
      <c r="C193" s="15" t="s">
        <v>289</v>
      </c>
      <c r="F193" s="24" t="s">
        <v>236</v>
      </c>
      <c r="G193" t="str">
        <f>_xlfn.XLOOKUP(Table1[[#This Row],[Part Number]], Catalogue_Components[Part Number], Catalogue_Components[Descriptive Name], "Component not found!")</f>
        <v>Torque Sensor</v>
      </c>
      <c r="H193" t="str">
        <f>_xlfn.XLOOKUP(Table1[[#This Row],[Part Number]], Catalogue_Components[Part Number], Catalogue_Components[Manufacturer], "-")</f>
        <v>Transmetra</v>
      </c>
      <c r="I193">
        <v>1</v>
      </c>
      <c r="J193">
        <f>Table1[[#This Row],[Part]]*$J$189</f>
        <v>1</v>
      </c>
      <c r="K193" s="21">
        <f>_xlfn.XLOOKUP(Table1[[#This Row],[Part Number]], Catalogue_Components[Part Number], Catalogue_Components[Price Per Unit], "")</f>
        <v>0</v>
      </c>
      <c r="L193" s="20">
        <f>_xlfn.XLOOKUP(Table1[[#This Row],[Part Number]], Catalogue_Components[Part Number], Catalogue_Components[Print Time], "")</f>
        <v>0</v>
      </c>
      <c r="P193">
        <f t="shared" si="6"/>
        <v>3</v>
      </c>
    </row>
    <row r="194" spans="2:16" x14ac:dyDescent="0.25">
      <c r="C194" s="15" t="s">
        <v>289</v>
      </c>
      <c r="F194" s="24" t="s">
        <v>16</v>
      </c>
      <c r="G194" t="str">
        <f>_xlfn.XLOOKUP(Table1[[#This Row],[Part Number]], Catalogue_Components[Part Number], Catalogue_Components[Descriptive Name], "Component not found!")</f>
        <v>M3x8 Screw Hex Socket</v>
      </c>
      <c r="H194" t="str">
        <f>_xlfn.XLOOKUP(Table1[[#This Row],[Part Number]], Catalogue_Components[Part Number], Catalogue_Components[Manufacturer], "-")</f>
        <v>Bossard</v>
      </c>
      <c r="I194">
        <v>2</v>
      </c>
      <c r="J194">
        <f>Table1[[#This Row],[Part]]*$J$189</f>
        <v>2</v>
      </c>
      <c r="K194" s="21">
        <f>_xlfn.XLOOKUP(Table1[[#This Row],[Part Number]], Catalogue_Components[Part Number], Catalogue_Components[Price Per Unit], "")</f>
        <v>0.188</v>
      </c>
      <c r="L194" s="20">
        <f>_xlfn.XLOOKUP(Table1[[#This Row],[Part Number]], Catalogue_Components[Part Number], Catalogue_Components[Print Time], "")</f>
        <v>0</v>
      </c>
      <c r="P194">
        <f t="shared" si="6"/>
        <v>3</v>
      </c>
    </row>
    <row r="195" spans="2:16" x14ac:dyDescent="0.25">
      <c r="C195" s="15" t="s">
        <v>289</v>
      </c>
      <c r="F195" s="24" t="s">
        <v>24</v>
      </c>
      <c r="G195" t="str">
        <f>_xlfn.XLOOKUP(Table1[[#This Row],[Part Number]], Catalogue_Components[Part Number], Catalogue_Components[Descriptive Name], "Component not found!")</f>
        <v>Flat Washer M3</v>
      </c>
      <c r="H195" t="str">
        <f>_xlfn.XLOOKUP(Table1[[#This Row],[Part Number]], Catalogue_Components[Part Number], Catalogue_Components[Manufacturer], "-")</f>
        <v>Bossard</v>
      </c>
      <c r="I195">
        <v>2</v>
      </c>
      <c r="J195">
        <f>Table1[[#This Row],[Part]]*$J$189</f>
        <v>2</v>
      </c>
      <c r="K195" s="21">
        <f>_xlfn.XLOOKUP(Table1[[#This Row],[Part Number]], Catalogue_Components[Part Number], Catalogue_Components[Price Per Unit], "")</f>
        <v>3.2000000000000001E-2</v>
      </c>
      <c r="L195" s="20">
        <f>_xlfn.XLOOKUP(Table1[[#This Row],[Part Number]], Catalogue_Components[Part Number], Catalogue_Components[Print Time], "")</f>
        <v>0</v>
      </c>
      <c r="P195">
        <f t="shared" si="6"/>
        <v>3</v>
      </c>
    </row>
    <row r="196" spans="2:16" x14ac:dyDescent="0.25">
      <c r="C196" s="15" t="s">
        <v>289</v>
      </c>
      <c r="F196" s="24" t="s">
        <v>174</v>
      </c>
      <c r="G196" t="str">
        <f>_xlfn.XLOOKUP(Table1[[#This Row],[Part Number]], Catalogue_Components[Part Number], Catalogue_Components[Descriptive Name], "Component not found!")</f>
        <v>M4x12 Screw Hex Countersunk</v>
      </c>
      <c r="H196" t="str">
        <f>_xlfn.XLOOKUP(Table1[[#This Row],[Part Number]], Catalogue_Components[Part Number], Catalogue_Components[Manufacturer], "-")</f>
        <v>Bossard</v>
      </c>
      <c r="I196">
        <v>8</v>
      </c>
      <c r="J196">
        <f>Table1[[#This Row],[Part]]*$J$189</f>
        <v>8</v>
      </c>
      <c r="K196" s="21">
        <f>_xlfn.XLOOKUP(Table1[[#This Row],[Part Number]], Catalogue_Components[Part Number], Catalogue_Components[Price Per Unit], "")</f>
        <v>0.158</v>
      </c>
      <c r="L196" s="20">
        <f>_xlfn.XLOOKUP(Table1[[#This Row],[Part Number]], Catalogue_Components[Part Number], Catalogue_Components[Print Time], "")</f>
        <v>0</v>
      </c>
      <c r="P196">
        <f t="shared" si="6"/>
        <v>3</v>
      </c>
    </row>
    <row r="197" spans="2:16" x14ac:dyDescent="0.25">
      <c r="B197" s="15" t="s">
        <v>289</v>
      </c>
      <c r="F197" s="24" t="s">
        <v>374</v>
      </c>
      <c r="G197" t="str">
        <f>_xlfn.XLOOKUP(Table1[[#This Row],[Part Number]], Catalogue_Components[Part Number], Catalogue_Components[Descriptive Name], "Component not found!")</f>
        <v>Torque Sensor TD50 Assembly</v>
      </c>
      <c r="H197" t="str">
        <f>_xlfn.XLOOKUP(Table1[[#This Row],[Part Number]], Catalogue_Components[Part Number], Catalogue_Components[Manufacturer], "-")</f>
        <v>Custom</v>
      </c>
      <c r="I197">
        <v>1</v>
      </c>
      <c r="J197">
        <f>Table1[[#This Row],[Part]]*$J$174</f>
        <v>1</v>
      </c>
      <c r="K197" s="21">
        <f>_xlfn.XLOOKUP(Table1[[#This Row],[Part Number]], Catalogue_Components[Part Number], Catalogue_Components[Price Per Unit], "")</f>
        <v>0</v>
      </c>
      <c r="L197" s="20">
        <f>_xlfn.XLOOKUP(Table1[[#This Row],[Part Number]], Catalogue_Components[Part Number], Catalogue_Components[Print Time], "")</f>
        <v>0</v>
      </c>
      <c r="P197">
        <f t="shared" si="6"/>
        <v>2</v>
      </c>
    </row>
    <row r="198" spans="2:16" x14ac:dyDescent="0.25">
      <c r="C198" s="15" t="s">
        <v>289</v>
      </c>
      <c r="F198" s="24" t="s">
        <v>375</v>
      </c>
      <c r="G198" t="str">
        <f>_xlfn.XLOOKUP(Table1[[#This Row],[Part Number]], Catalogue_Components[Part Number], Catalogue_Components[Descriptive Name], "Component not found!")</f>
        <v>Torque Sensor Tub TD50</v>
      </c>
      <c r="H198" t="str">
        <f>_xlfn.XLOOKUP(Table1[[#This Row],[Part Number]], Catalogue_Components[Part Number], Catalogue_Components[Manufacturer], "-")</f>
        <v>Custom</v>
      </c>
      <c r="I198">
        <v>1</v>
      </c>
      <c r="J198">
        <f>Table1[[#This Row],[Part]]*$J$197</f>
        <v>1</v>
      </c>
      <c r="K198" s="21">
        <f>_xlfn.XLOOKUP(Table1[[#This Row],[Part Number]], Catalogue_Components[Part Number], Catalogue_Components[Price Per Unit], "")</f>
        <v>0</v>
      </c>
      <c r="L198" s="20">
        <f>_xlfn.XLOOKUP(Table1[[#This Row],[Part Number]], Catalogue_Components[Part Number], Catalogue_Components[Print Time], "")</f>
        <v>0</v>
      </c>
      <c r="P198">
        <f t="shared" si="6"/>
        <v>3</v>
      </c>
    </row>
    <row r="199" spans="2:16" x14ac:dyDescent="0.25">
      <c r="C199" s="15" t="s">
        <v>289</v>
      </c>
      <c r="F199" s="24" t="s">
        <v>376</v>
      </c>
      <c r="G199" t="str">
        <f>_xlfn.XLOOKUP(Table1[[#This Row],[Part Number]], Catalogue_Components[Part Number], Catalogue_Components[Descriptive Name], "Component not found!")</f>
        <v>Torque Sensor Holder TD50</v>
      </c>
      <c r="H199" t="str">
        <f>_xlfn.XLOOKUP(Table1[[#This Row],[Part Number]], Catalogue_Components[Part Number], Catalogue_Components[Manufacturer], "-")</f>
        <v>Custom</v>
      </c>
      <c r="I199">
        <v>1</v>
      </c>
      <c r="J199">
        <f>Table1[[#This Row],[Part]]*$J$197</f>
        <v>1</v>
      </c>
      <c r="K199" s="21">
        <f>_xlfn.XLOOKUP(Table1[[#This Row],[Part Number]], Catalogue_Components[Part Number], Catalogue_Components[Price Per Unit], "")</f>
        <v>0</v>
      </c>
      <c r="L199" s="20">
        <f>_xlfn.XLOOKUP(Table1[[#This Row],[Part Number]], Catalogue_Components[Part Number], Catalogue_Components[Print Time], "")</f>
        <v>0</v>
      </c>
      <c r="P199">
        <f t="shared" si="6"/>
        <v>3</v>
      </c>
    </row>
    <row r="200" spans="2:16" x14ac:dyDescent="0.25">
      <c r="C200" s="15" t="s">
        <v>289</v>
      </c>
      <c r="F200" s="24" t="s">
        <v>377</v>
      </c>
      <c r="G200" t="str">
        <f>_xlfn.XLOOKUP(Table1[[#This Row],[Part Number]], Catalogue_Components[Part Number], Catalogue_Components[Descriptive Name], "Component not found!")</f>
        <v>Torque Sensor Axle TD50</v>
      </c>
      <c r="H200" t="str">
        <f>_xlfn.XLOOKUP(Table1[[#This Row],[Part Number]], Catalogue_Components[Part Number], Catalogue_Components[Manufacturer], "-")</f>
        <v>Custom</v>
      </c>
      <c r="I200">
        <v>1</v>
      </c>
      <c r="J200">
        <f>Table1[[#This Row],[Part]]*$J$197</f>
        <v>1</v>
      </c>
      <c r="K200" s="21">
        <f>_xlfn.XLOOKUP(Table1[[#This Row],[Part Number]], Catalogue_Components[Part Number], Catalogue_Components[Price Per Unit], "")</f>
        <v>0</v>
      </c>
      <c r="L200" s="20">
        <f>_xlfn.XLOOKUP(Table1[[#This Row],[Part Number]], Catalogue_Components[Part Number], Catalogue_Components[Print Time], "")</f>
        <v>0</v>
      </c>
      <c r="P200">
        <f t="shared" si="6"/>
        <v>3</v>
      </c>
    </row>
    <row r="201" spans="2:16" x14ac:dyDescent="0.25">
      <c r="C201" s="15" t="s">
        <v>289</v>
      </c>
      <c r="F201" s="24" t="s">
        <v>24</v>
      </c>
      <c r="G201" t="str">
        <f>_xlfn.XLOOKUP(Table1[[#This Row],[Part Number]], Catalogue_Components[Part Number], Catalogue_Components[Descriptive Name], "Component not found!")</f>
        <v>Flat Washer M3</v>
      </c>
      <c r="H201" t="str">
        <f>_xlfn.XLOOKUP(Table1[[#This Row],[Part Number]], Catalogue_Components[Part Number], Catalogue_Components[Manufacturer], "-")</f>
        <v>Bossard</v>
      </c>
      <c r="I201">
        <v>6</v>
      </c>
      <c r="J201">
        <f>Table1[[#This Row],[Part]]*$J$197</f>
        <v>6</v>
      </c>
      <c r="K201" s="21">
        <f>_xlfn.XLOOKUP(Table1[[#This Row],[Part Number]], Catalogue_Components[Part Number], Catalogue_Components[Price Per Unit], "")</f>
        <v>3.2000000000000001E-2</v>
      </c>
      <c r="L201" s="20">
        <f>_xlfn.XLOOKUP(Table1[[#This Row],[Part Number]], Catalogue_Components[Part Number], Catalogue_Components[Print Time], "")</f>
        <v>0</v>
      </c>
      <c r="P201">
        <f t="shared" si="6"/>
        <v>3</v>
      </c>
    </row>
    <row r="202" spans="2:16" x14ac:dyDescent="0.25">
      <c r="C202" s="15" t="s">
        <v>289</v>
      </c>
      <c r="F202" s="24" t="s">
        <v>16</v>
      </c>
      <c r="G202" t="str">
        <f>_xlfn.XLOOKUP(Table1[[#This Row],[Part Number]], Catalogue_Components[Part Number], Catalogue_Components[Descriptive Name], "Component not found!")</f>
        <v>M3x8 Screw Hex Socket</v>
      </c>
      <c r="H202" t="str">
        <f>_xlfn.XLOOKUP(Table1[[#This Row],[Part Number]], Catalogue_Components[Part Number], Catalogue_Components[Manufacturer], "-")</f>
        <v>Bossard</v>
      </c>
      <c r="I202">
        <v>10</v>
      </c>
      <c r="J202">
        <f>Table1[[#This Row],[Part]]*$J$197</f>
        <v>10</v>
      </c>
      <c r="K202" s="21">
        <f>_xlfn.XLOOKUP(Table1[[#This Row],[Part Number]], Catalogue_Components[Part Number], Catalogue_Components[Price Per Unit], "")</f>
        <v>0.188</v>
      </c>
      <c r="L202" s="20">
        <f>_xlfn.XLOOKUP(Table1[[#This Row],[Part Number]], Catalogue_Components[Part Number], Catalogue_Components[Print Time], "")</f>
        <v>0</v>
      </c>
      <c r="P202">
        <f t="shared" si="6"/>
        <v>3</v>
      </c>
    </row>
    <row r="203" spans="2:16" x14ac:dyDescent="0.25">
      <c r="B203" s="15" t="s">
        <v>289</v>
      </c>
      <c r="F203" s="24" t="s">
        <v>378</v>
      </c>
      <c r="G203" t="str">
        <f>_xlfn.XLOOKUP(Table1[[#This Row],[Part Number]], Catalogue_Components[Part Number], Catalogue_Components[Descriptive Name], "Component not found!")</f>
        <v>Bearing Holder fwd</v>
      </c>
      <c r="H203" t="str">
        <f>_xlfn.XLOOKUP(Table1[[#This Row],[Part Number]], Catalogue_Components[Part Number], Catalogue_Components[Manufacturer], "-")</f>
        <v>Custom</v>
      </c>
      <c r="I203">
        <v>2</v>
      </c>
      <c r="J203">
        <f>Table1[[#This Row],[Part]]*$J$174</f>
        <v>2</v>
      </c>
      <c r="K203" s="21">
        <f>_xlfn.XLOOKUP(Table1[[#This Row],[Part Number]], Catalogue_Components[Part Number], Catalogue_Components[Price Per Unit], "")</f>
        <v>0</v>
      </c>
      <c r="L203" s="20">
        <f>_xlfn.XLOOKUP(Table1[[#This Row],[Part Number]], Catalogue_Components[Part Number], Catalogue_Components[Print Time], "")</f>
        <v>0</v>
      </c>
      <c r="P203">
        <f t="shared" si="6"/>
        <v>2</v>
      </c>
    </row>
    <row r="204" spans="2:16" x14ac:dyDescent="0.25">
      <c r="C204" s="15" t="s">
        <v>289</v>
      </c>
      <c r="F204" s="24" t="s">
        <v>35</v>
      </c>
      <c r="G204" t="str">
        <f>_xlfn.XLOOKUP(Table1[[#This Row],[Part Number]], Catalogue_Components[Part Number], Catalogue_Components[Descriptive Name], "Component not found!")</f>
        <v>Steel Ball Bearing</v>
      </c>
      <c r="H204" t="str">
        <f>_xlfn.XLOOKUP(Table1[[#This Row],[Part Number]], Catalogue_Components[Part Number], Catalogue_Components[Manufacturer], "-")</f>
        <v>SKF</v>
      </c>
      <c r="I204">
        <v>1</v>
      </c>
      <c r="J204">
        <f>Table1[[#This Row],[Part]]*J203</f>
        <v>2</v>
      </c>
      <c r="K204" s="21">
        <f>_xlfn.XLOOKUP(Table1[[#This Row],[Part Number]], Catalogue_Components[Part Number], Catalogue_Components[Price Per Unit], "")</f>
        <v>12.4</v>
      </c>
      <c r="L204" s="20">
        <f>_xlfn.XLOOKUP(Table1[[#This Row],[Part Number]], Catalogue_Components[Part Number], Catalogue_Components[Print Time], "")</f>
        <v>0</v>
      </c>
      <c r="P204">
        <f t="shared" si="6"/>
        <v>3</v>
      </c>
    </row>
    <row r="205" spans="2:16" x14ac:dyDescent="0.25">
      <c r="B205" s="15" t="s">
        <v>289</v>
      </c>
      <c r="F205" s="24" t="s">
        <v>379</v>
      </c>
      <c r="G205" t="str">
        <f>_xlfn.XLOOKUP(Table1[[#This Row],[Part Number]], Catalogue_Components[Part Number], Catalogue_Components[Descriptive Name], "Component not found!")</f>
        <v>Metal Bellows Coupling</v>
      </c>
      <c r="H205" t="str">
        <f>_xlfn.XLOOKUP(Table1[[#This Row],[Part Number]], Catalogue_Components[Part Number], Catalogue_Components[Manufacturer], "-")</f>
        <v>Maeder</v>
      </c>
      <c r="I205">
        <v>1</v>
      </c>
      <c r="J205">
        <f>Table1[[#This Row],[Part]]*$J$174</f>
        <v>1</v>
      </c>
      <c r="K205" s="21">
        <f>_xlfn.XLOOKUP(Table1[[#This Row],[Part Number]], Catalogue_Components[Part Number], Catalogue_Components[Price Per Unit], "")</f>
        <v>39.35</v>
      </c>
      <c r="L205" s="20">
        <f>_xlfn.XLOOKUP(Table1[[#This Row],[Part Number]], Catalogue_Components[Part Number], Catalogue_Components[Print Time], "")</f>
        <v>0</v>
      </c>
      <c r="P205">
        <f t="shared" si="6"/>
        <v>2</v>
      </c>
    </row>
    <row r="206" spans="2:16" x14ac:dyDescent="0.25">
      <c r="B206" s="15" t="s">
        <v>289</v>
      </c>
      <c r="F206" s="24" t="s">
        <v>380</v>
      </c>
      <c r="G206" t="str">
        <f>_xlfn.XLOOKUP(Table1[[#This Row],[Part Number]], Catalogue_Components[Part Number], Catalogue_Components[Descriptive Name], "Component not found!")</f>
        <v>Cable Relaxer</v>
      </c>
      <c r="H206" t="str">
        <f>_xlfn.XLOOKUP(Table1[[#This Row],[Part Number]], Catalogue_Components[Part Number], Catalogue_Components[Manufacturer], "-")</f>
        <v>Custom</v>
      </c>
      <c r="I206">
        <v>2</v>
      </c>
      <c r="J206">
        <f>Table1[[#This Row],[Part]]*$J$174</f>
        <v>2</v>
      </c>
      <c r="K206" s="21">
        <f>_xlfn.XLOOKUP(Table1[[#This Row],[Part Number]], Catalogue_Components[Part Number], Catalogue_Components[Price Per Unit], "")</f>
        <v>0</v>
      </c>
      <c r="L206" s="20">
        <f>_xlfn.XLOOKUP(Table1[[#This Row],[Part Number]], Catalogue_Components[Part Number], Catalogue_Components[Print Time], "")</f>
        <v>1.1805555555555555E-2</v>
      </c>
      <c r="P206">
        <f t="shared" si="6"/>
        <v>2</v>
      </c>
    </row>
    <row r="207" spans="2:16" x14ac:dyDescent="0.25">
      <c r="C207" s="15" t="s">
        <v>289</v>
      </c>
      <c r="F207" s="24">
        <v>430200400</v>
      </c>
      <c r="G207" t="str">
        <f>_xlfn.XLOOKUP(Table1[[#This Row],[Part Number]], Catalogue_Components[Part Number], Catalogue_Components[Descriptive Name], "Component not found!")</f>
        <v>Connector MicroFit 2x2 Socket</v>
      </c>
      <c r="H207" t="str">
        <f>_xlfn.XLOOKUP(Table1[[#This Row],[Part Number]], Catalogue_Components[Part Number], Catalogue_Components[Manufacturer], "-")</f>
        <v>Molex</v>
      </c>
      <c r="I207">
        <v>2</v>
      </c>
      <c r="J207">
        <f>Table1[[#This Row],[Part]]*J206</f>
        <v>4</v>
      </c>
      <c r="K207" s="21">
        <f>_xlfn.XLOOKUP(Table1[[#This Row],[Part Number]], Catalogue_Components[Part Number], Catalogue_Components[Price Per Unit], "")</f>
        <v>0.28999999999999998</v>
      </c>
      <c r="L207" s="20">
        <f>_xlfn.XLOOKUP(Table1[[#This Row],[Part Number]], Catalogue_Components[Part Number], Catalogue_Components[Print Time], "")</f>
        <v>0</v>
      </c>
      <c r="P207">
        <f t="shared" si="6"/>
        <v>3</v>
      </c>
    </row>
    <row r="208" spans="2:16" x14ac:dyDescent="0.25">
      <c r="B208" s="15" t="s">
        <v>289</v>
      </c>
      <c r="F208" s="24" t="s">
        <v>18</v>
      </c>
      <c r="G208" t="str">
        <f>_xlfn.XLOOKUP(Table1[[#This Row],[Part Number]], Catalogue_Components[Part Number], Catalogue_Components[Descriptive Name], "Component not found!")</f>
        <v>M3x8 Screw Hex Countersunk</v>
      </c>
      <c r="H208" t="str">
        <f>_xlfn.XLOOKUP(Table1[[#This Row],[Part Number]], Catalogue_Components[Part Number], Catalogue_Components[Manufacturer], "-")</f>
        <v>Bossard</v>
      </c>
      <c r="I208">
        <v>4</v>
      </c>
      <c r="J208">
        <f>Table1[[#This Row],[Part]]*$J$174</f>
        <v>4</v>
      </c>
      <c r="K208" s="21">
        <f>_xlfn.XLOOKUP(Table1[[#This Row],[Part Number]], Catalogue_Components[Part Number], Catalogue_Components[Price Per Unit], "")</f>
        <v>0.183</v>
      </c>
      <c r="L208" s="20">
        <f>_xlfn.XLOOKUP(Table1[[#This Row],[Part Number]], Catalogue_Components[Part Number], Catalogue_Components[Print Time], "")</f>
        <v>0</v>
      </c>
      <c r="P208">
        <f t="shared" si="6"/>
        <v>2</v>
      </c>
    </row>
    <row r="209" spans="1:16" x14ac:dyDescent="0.25">
      <c r="B209" s="15" t="s">
        <v>289</v>
      </c>
      <c r="F209" s="24" t="s">
        <v>381</v>
      </c>
      <c r="G209" t="str">
        <f>_xlfn.XLOOKUP(Table1[[#This Row],[Part Number]], Catalogue_Components[Part Number], Catalogue_Components[Descriptive Name], "Component not found!")</f>
        <v>Plate Securing Pin</v>
      </c>
      <c r="H209" t="str">
        <f>_xlfn.XLOOKUP(Table1[[#This Row],[Part Number]], Catalogue_Components[Part Number], Catalogue_Components[Manufacturer], "-")</f>
        <v>Custom</v>
      </c>
      <c r="I209">
        <v>1</v>
      </c>
      <c r="J209">
        <f>Table1[[#This Row],[Part]]*$J$174</f>
        <v>1</v>
      </c>
      <c r="K209" s="21">
        <f>_xlfn.XLOOKUP(Table1[[#This Row],[Part Number]], Catalogue_Components[Part Number], Catalogue_Components[Price Per Unit], "")</f>
        <v>0</v>
      </c>
      <c r="L209" s="20">
        <f>_xlfn.XLOOKUP(Table1[[#This Row],[Part Number]], Catalogue_Components[Part Number], Catalogue_Components[Print Time], "")</f>
        <v>1.0416666666666666E-2</v>
      </c>
      <c r="P209">
        <f t="shared" si="6"/>
        <v>2</v>
      </c>
    </row>
    <row r="210" spans="1:16" x14ac:dyDescent="0.25">
      <c r="A210" s="15" t="s">
        <v>289</v>
      </c>
      <c r="F210" s="24" t="s">
        <v>390</v>
      </c>
      <c r="G210" t="str">
        <f>_xlfn.XLOOKUP(Table1[[#This Row],[Part Number]], Catalogue_Components[Part Number], Catalogue_Components[Descriptive Name], "Component not found!")</f>
        <v>Elevated Platform Screws</v>
      </c>
      <c r="H210" t="str">
        <f>_xlfn.XLOOKUP(Table1[[#This Row],[Part Number]], Catalogue_Components[Part Number], Catalogue_Components[Manufacturer], "-")</f>
        <v>Custom</v>
      </c>
      <c r="I210">
        <v>1</v>
      </c>
      <c r="J210" s="27">
        <f>Table1[[#This Row],[Part]]</f>
        <v>1</v>
      </c>
      <c r="K210" s="21">
        <f>_xlfn.XLOOKUP(Table1[[#This Row],[Part Number]], Catalogue_Components[Part Number], Catalogue_Components[Price Per Unit], "")</f>
        <v>0</v>
      </c>
      <c r="L210" s="20">
        <f>_xlfn.XLOOKUP(Table1[[#This Row],[Part Number]], Catalogue_Components[Part Number], Catalogue_Components[Print Time], "")</f>
        <v>0</v>
      </c>
      <c r="P210">
        <f>MATCH("x",A210:E210,0)</f>
        <v>1</v>
      </c>
    </row>
    <row r="211" spans="1:16" x14ac:dyDescent="0.25">
      <c r="B211" s="15" t="s">
        <v>289</v>
      </c>
      <c r="F211" s="24" t="s">
        <v>20</v>
      </c>
      <c r="G211" t="str">
        <f>_xlfn.XLOOKUP(Table1[[#This Row],[Part Number]], Catalogue_Components[Part Number], Catalogue_Components[Descriptive Name], "Component not found!")</f>
        <v>M5x8 Screw Hex Countersunk</v>
      </c>
      <c r="H211" t="str">
        <f>_xlfn.XLOOKUP(Table1[[#This Row],[Part Number]], Catalogue_Components[Part Number], Catalogue_Components[Manufacturer], "-")</f>
        <v>Bossard</v>
      </c>
      <c r="I211">
        <v>24</v>
      </c>
      <c r="J211" s="27">
        <f>Table1[[#This Row],[Part]]*J210</f>
        <v>24</v>
      </c>
      <c r="K211" s="21">
        <f>_xlfn.XLOOKUP(Table1[[#This Row],[Part Number]], Catalogue_Components[Part Number], Catalogue_Components[Price Per Unit], "")</f>
        <v>0.23600000000000002</v>
      </c>
      <c r="L211" s="20">
        <f>_xlfn.XLOOKUP(Table1[[#This Row],[Part Number]], Catalogue_Components[Part Number], Catalogue_Components[Print Time], "")</f>
        <v>0</v>
      </c>
      <c r="P211">
        <f>MATCH("x",A211:E211,0)</f>
        <v>2</v>
      </c>
    </row>
    <row r="212" spans="1:16" x14ac:dyDescent="0.25">
      <c r="B212" s="15" t="s">
        <v>289</v>
      </c>
      <c r="F212" s="24" t="s">
        <v>76</v>
      </c>
      <c r="G212" t="str">
        <f>_xlfn.XLOOKUP(Table1[[#This Row],[Part Number]], Catalogue_Components[Part Number], Catalogue_Components[Descriptive Name], "Component not found!")</f>
        <v>item Frame Outside Width (L = 306 mm)</v>
      </c>
      <c r="H212" t="str">
        <f>_xlfn.XLOOKUP(Table1[[#This Row],[Part Number]], Catalogue_Components[Part Number], Catalogue_Components[Manufacturer], "-")</f>
        <v>item</v>
      </c>
      <c r="I212">
        <v>2</v>
      </c>
      <c r="J212" s="27">
        <f>Table1[[#This Row],[Part]]*J210</f>
        <v>2</v>
      </c>
      <c r="K212" s="21">
        <f>_xlfn.XLOOKUP(Table1[[#This Row],[Part Number]], Catalogue_Components[Part Number], Catalogue_Components[Price Per Unit], "")</f>
        <v>8.9207199999999993</v>
      </c>
      <c r="L212" s="20">
        <f>_xlfn.XLOOKUP(Table1[[#This Row],[Part Number]], Catalogue_Components[Part Number], Catalogue_Components[Print Time], "")</f>
        <v>0</v>
      </c>
      <c r="P212">
        <f>MATCH("x",A212:E212,0)</f>
        <v>2</v>
      </c>
    </row>
    <row r="213" spans="1:16" x14ac:dyDescent="0.25">
      <c r="B213" s="15" t="s">
        <v>289</v>
      </c>
      <c r="F213" s="24" t="s">
        <v>391</v>
      </c>
      <c r="G213" t="str">
        <f>_xlfn.XLOOKUP(Table1[[#This Row],[Part Number]], Catalogue_Components[Part Number], Catalogue_Components[Descriptive Name], "Component not found!")</f>
        <v>item Frame Standoff (L = 50 mm)</v>
      </c>
      <c r="H213" t="str">
        <f>_xlfn.XLOOKUP(Table1[[#This Row],[Part Number]], Catalogue_Components[Part Number], Catalogue_Components[Manufacturer], "-")</f>
        <v>item</v>
      </c>
      <c r="I213">
        <v>4</v>
      </c>
      <c r="J213" s="27">
        <f>Table1[[#This Row],[Part]]*J210</f>
        <v>4</v>
      </c>
      <c r="K213" s="21">
        <f>_xlfn.XLOOKUP(Table1[[#This Row],[Part Number]], Catalogue_Components[Part Number], Catalogue_Components[Price Per Unit], "")</f>
        <v>5.3059999999999992</v>
      </c>
      <c r="L213" s="20">
        <f>_xlfn.XLOOKUP(Table1[[#This Row],[Part Number]], Catalogue_Components[Part Number], Catalogue_Components[Print Time], "")</f>
        <v>0</v>
      </c>
      <c r="P213">
        <f>MATCH("x",A213:E213,0)</f>
        <v>2</v>
      </c>
    </row>
    <row r="214" spans="1:16" x14ac:dyDescent="0.25">
      <c r="B214" s="15" t="s">
        <v>289</v>
      </c>
      <c r="F214" s="24" t="s">
        <v>392</v>
      </c>
      <c r="G214" t="str">
        <f>_xlfn.XLOOKUP(Table1[[#This Row],[Part Number]], Catalogue_Components[Part Number], Catalogue_Components[Descriptive Name], "Component not found!")</f>
        <v>item Frame Sensing Platform Width (L = 550 mm)</v>
      </c>
      <c r="H214" t="str">
        <f>_xlfn.XLOOKUP(Table1[[#This Row],[Part Number]], Catalogue_Components[Part Number], Catalogue_Components[Manufacturer], "-")</f>
        <v>item</v>
      </c>
      <c r="I214">
        <v>2</v>
      </c>
      <c r="J214" s="27">
        <f>Table1[[#This Row],[Part]]*J210</f>
        <v>2</v>
      </c>
      <c r="K214" s="21">
        <f>_xlfn.XLOOKUP(Table1[[#This Row],[Part Number]], Catalogue_Components[Part Number], Catalogue_Components[Price Per Unit], "")</f>
        <v>12.366</v>
      </c>
      <c r="L214" s="20">
        <f>_xlfn.XLOOKUP(Table1[[#This Row],[Part Number]], Catalogue_Components[Part Number], Catalogue_Components[Print Time], "")</f>
        <v>0</v>
      </c>
      <c r="P214">
        <f>MATCH("x",A214:E214,0)</f>
        <v>2</v>
      </c>
    </row>
    <row r="215" spans="1:16" x14ac:dyDescent="0.25">
      <c r="B215" s="15" t="s">
        <v>289</v>
      </c>
      <c r="F215" s="24" t="s">
        <v>30</v>
      </c>
      <c r="G215" t="str">
        <f>_xlfn.XLOOKUP(Table1[[#This Row],[Part Number]], Catalogue_Components[Part Number], Catalogue_Components[Descriptive Name], "Component not found!")</f>
        <v>T-slotNnut M5 Profil 5</v>
      </c>
      <c r="H215" t="str">
        <f>_xlfn.XLOOKUP(Table1[[#This Row],[Part Number]], Catalogue_Components[Part Number], Catalogue_Components[Manufacturer], "-")</f>
        <v>item</v>
      </c>
      <c r="I215">
        <v>24</v>
      </c>
      <c r="J215" s="27">
        <f>Table1[[#This Row],[Part]]*J210</f>
        <v>24</v>
      </c>
      <c r="K215" s="21">
        <f>_xlfn.XLOOKUP(Table1[[#This Row],[Part Number]], Catalogue_Components[Part Number], Catalogue_Components[Price Per Unit], "")</f>
        <v>2.7</v>
      </c>
      <c r="L215" s="20">
        <f>_xlfn.XLOOKUP(Table1[[#This Row],[Part Number]], Catalogue_Components[Part Number], Catalogue_Components[Print Time], "")</f>
        <v>0</v>
      </c>
      <c r="P215">
        <f>MATCH("x",A215:E215,0)</f>
        <v>2</v>
      </c>
    </row>
    <row r="216" spans="1:16" x14ac:dyDescent="0.25">
      <c r="B216" s="15" t="s">
        <v>289</v>
      </c>
      <c r="F216" s="24" t="s">
        <v>393</v>
      </c>
      <c r="G216" t="str">
        <f>_xlfn.XLOOKUP(Table1[[#This Row],[Part Number]], Catalogue_Components[Part Number], Catalogue_Components[Descriptive Name], "Component not found!")</f>
        <v>90° Angle</v>
      </c>
      <c r="H216" t="str">
        <f>_xlfn.XLOOKUP(Table1[[#This Row],[Part Number]], Catalogue_Components[Part Number], Catalogue_Components[Manufacturer], "-")</f>
        <v>item</v>
      </c>
      <c r="I216">
        <v>12</v>
      </c>
      <c r="J216" s="27">
        <f>Table1[[#This Row],[Part]]*J210</f>
        <v>12</v>
      </c>
      <c r="K216" s="21">
        <f>_xlfn.XLOOKUP(Table1[[#This Row],[Part Number]], Catalogue_Components[Part Number], Catalogue_Components[Price Per Unit], "")</f>
        <v>4.34</v>
      </c>
      <c r="L216" s="20">
        <f>_xlfn.XLOOKUP(Table1[[#This Row],[Part Number]], Catalogue_Components[Part Number], Catalogue_Components[Print Time], "")</f>
        <v>0</v>
      </c>
      <c r="P216">
        <f>MATCH("x",A216:E216,0)</f>
        <v>2</v>
      </c>
    </row>
  </sheetData>
  <mergeCells count="9">
    <mergeCell ref="N1:O1"/>
    <mergeCell ref="I1:J1"/>
    <mergeCell ref="K1:L1"/>
    <mergeCell ref="A1:E1"/>
    <mergeCell ref="A172:E172"/>
    <mergeCell ref="I172:J172"/>
    <mergeCell ref="K172:L172"/>
    <mergeCell ref="N172:O172"/>
    <mergeCell ref="A170:P170"/>
  </mergeCells>
  <phoneticPr fontId="4" type="noConversion"/>
  <conditionalFormatting sqref="A3:P216">
    <cfRule type="expression" dxfId="7" priority="50">
      <formula>$D3="x"</formula>
    </cfRule>
    <cfRule type="expression" dxfId="6" priority="51">
      <formula>$C3="x"</formula>
    </cfRule>
    <cfRule type="expression" dxfId="5" priority="52">
      <formula>$B3="x"</formula>
    </cfRule>
    <cfRule type="expression" dxfId="4" priority="53">
      <formula>$A3="x"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4EBE-A28D-4F11-94F1-F85EFD2C9464}">
  <dimension ref="A1:P183"/>
  <sheetViews>
    <sheetView topLeftCell="A154" workbookViewId="0">
      <selection activeCell="L183" sqref="L183"/>
    </sheetView>
  </sheetViews>
  <sheetFormatPr defaultRowHeight="15" x14ac:dyDescent="0.25"/>
  <cols>
    <col min="1" max="1" width="1.140625" customWidth="1"/>
    <col min="3" max="3" width="29.28515625" style="5" bestFit="1" customWidth="1"/>
    <col min="4" max="4" width="36.5703125" bestFit="1" customWidth="1"/>
    <col min="5" max="5" width="15.7109375" customWidth="1"/>
    <col min="6" max="7" width="15.28515625" customWidth="1"/>
    <col min="8" max="8" width="19.28515625" customWidth="1"/>
    <col min="9" max="9" width="15.28515625" customWidth="1"/>
    <col min="10" max="10" width="21.42578125" bestFit="1" customWidth="1"/>
    <col min="11" max="11" width="12.85546875" customWidth="1"/>
    <col min="12" max="12" width="10.28515625" bestFit="1" customWidth="1"/>
    <col min="13" max="13" width="9.85546875" bestFit="1" customWidth="1"/>
    <col min="15" max="15" width="10.28515625" bestFit="1" customWidth="1"/>
    <col min="16" max="16" width="41.85546875" bestFit="1" customWidth="1"/>
    <col min="19" max="19" width="46.5703125" bestFit="1" customWidth="1"/>
    <col min="23" max="23" width="46.42578125" bestFit="1" customWidth="1"/>
  </cols>
  <sheetData>
    <row r="1" spans="3:10" x14ac:dyDescent="0.25">
      <c r="C1" s="5" t="s">
        <v>0</v>
      </c>
      <c r="D1" t="s">
        <v>1</v>
      </c>
      <c r="E1" t="s">
        <v>2</v>
      </c>
      <c r="F1" t="s">
        <v>3</v>
      </c>
      <c r="G1" t="s">
        <v>262</v>
      </c>
      <c r="H1" t="s">
        <v>294</v>
      </c>
      <c r="I1" t="s">
        <v>171</v>
      </c>
      <c r="J1" t="s">
        <v>172</v>
      </c>
    </row>
    <row r="2" spans="3:10" x14ac:dyDescent="0.25">
      <c r="C2" s="5" t="s">
        <v>304</v>
      </c>
      <c r="D2" t="s">
        <v>305</v>
      </c>
      <c r="E2" t="s">
        <v>306</v>
      </c>
      <c r="F2" s="1">
        <v>3.92</v>
      </c>
      <c r="G2" s="4"/>
      <c r="H2" s="6"/>
    </row>
    <row r="3" spans="3:10" x14ac:dyDescent="0.25">
      <c r="C3" s="5">
        <v>0</v>
      </c>
      <c r="D3" t="s">
        <v>33</v>
      </c>
      <c r="E3" t="s">
        <v>7</v>
      </c>
      <c r="F3" s="1">
        <v>295</v>
      </c>
      <c r="G3" s="1"/>
      <c r="H3" s="6"/>
      <c r="I3">
        <v>1</v>
      </c>
    </row>
    <row r="4" spans="3:10" x14ac:dyDescent="0.25">
      <c r="C4" s="8">
        <v>801733</v>
      </c>
      <c r="D4" t="s">
        <v>68</v>
      </c>
      <c r="E4" t="s">
        <v>69</v>
      </c>
      <c r="F4" s="1">
        <v>9.3800000000000008</v>
      </c>
      <c r="G4" s="1"/>
      <c r="H4" s="7"/>
      <c r="I4" s="9">
        <v>1</v>
      </c>
    </row>
    <row r="5" spans="3:10" x14ac:dyDescent="0.25">
      <c r="C5" s="5">
        <v>430200208</v>
      </c>
      <c r="D5" t="s">
        <v>180</v>
      </c>
      <c r="E5" t="s">
        <v>65</v>
      </c>
      <c r="F5" s="1">
        <v>0.38</v>
      </c>
      <c r="G5" s="1"/>
      <c r="H5" s="7"/>
      <c r="I5" s="9">
        <v>1</v>
      </c>
    </row>
    <row r="6" spans="3:10" x14ac:dyDescent="0.25">
      <c r="C6" s="8">
        <v>430200400</v>
      </c>
      <c r="D6" t="s">
        <v>64</v>
      </c>
      <c r="E6" t="s">
        <v>65</v>
      </c>
      <c r="F6" s="1">
        <v>0.28999999999999998</v>
      </c>
      <c r="G6" s="1"/>
      <c r="H6" s="7"/>
      <c r="I6" s="9">
        <v>1</v>
      </c>
    </row>
    <row r="7" spans="3:10" x14ac:dyDescent="0.25">
      <c r="C7" s="8">
        <v>430450420</v>
      </c>
      <c r="D7" t="s">
        <v>237</v>
      </c>
      <c r="E7" t="s">
        <v>65</v>
      </c>
      <c r="F7" s="1">
        <v>2.3199999999999998</v>
      </c>
      <c r="G7" s="1"/>
      <c r="H7" s="7"/>
      <c r="I7" s="9">
        <v>12</v>
      </c>
    </row>
    <row r="8" spans="3:10" x14ac:dyDescent="0.25">
      <c r="C8" s="5">
        <v>2838400000</v>
      </c>
      <c r="D8" t="s">
        <v>188</v>
      </c>
      <c r="E8" t="s">
        <v>189</v>
      </c>
      <c r="F8" s="1">
        <v>60.5</v>
      </c>
      <c r="G8" s="1"/>
      <c r="H8" s="6"/>
      <c r="I8">
        <v>1</v>
      </c>
    </row>
    <row r="9" spans="3:10" x14ac:dyDescent="0.25">
      <c r="C9" s="5" t="s">
        <v>8</v>
      </c>
      <c r="D9" t="s">
        <v>384</v>
      </c>
      <c r="E9" t="s">
        <v>4</v>
      </c>
      <c r="F9" s="1">
        <v>0.71</v>
      </c>
      <c r="G9" s="1"/>
      <c r="H9" s="6"/>
      <c r="I9">
        <v>12</v>
      </c>
    </row>
    <row r="10" spans="3:10" x14ac:dyDescent="0.25">
      <c r="C10" s="5" t="s">
        <v>30</v>
      </c>
      <c r="D10" t="s">
        <v>385</v>
      </c>
      <c r="E10" t="s">
        <v>4</v>
      </c>
      <c r="F10" s="1">
        <v>2.7</v>
      </c>
      <c r="G10" s="1"/>
      <c r="H10" s="6"/>
      <c r="I10">
        <v>149</v>
      </c>
    </row>
    <row r="11" spans="3:10" x14ac:dyDescent="0.25">
      <c r="C11" s="5" t="s">
        <v>9</v>
      </c>
      <c r="D11" t="s">
        <v>386</v>
      </c>
      <c r="E11" t="s">
        <v>4</v>
      </c>
      <c r="F11" s="1">
        <v>10.99</v>
      </c>
      <c r="G11" s="1"/>
      <c r="H11" s="6"/>
      <c r="I11">
        <v>8</v>
      </c>
    </row>
    <row r="12" spans="3:10" x14ac:dyDescent="0.25">
      <c r="C12" s="8" t="s">
        <v>181</v>
      </c>
      <c r="D12" t="s">
        <v>182</v>
      </c>
      <c r="E12" t="s">
        <v>65</v>
      </c>
      <c r="F12" s="1">
        <v>0.39</v>
      </c>
      <c r="G12" s="1"/>
      <c r="H12" s="7"/>
      <c r="I12" s="9">
        <v>1</v>
      </c>
    </row>
    <row r="13" spans="3:10" x14ac:dyDescent="0.25">
      <c r="C13" s="5" t="s">
        <v>71</v>
      </c>
      <c r="D13" t="s">
        <v>193</v>
      </c>
      <c r="E13" t="s">
        <v>72</v>
      </c>
      <c r="F13" s="1">
        <v>7.86</v>
      </c>
      <c r="G13" s="1"/>
      <c r="H13" s="6"/>
      <c r="I13">
        <v>3</v>
      </c>
    </row>
    <row r="14" spans="3:10" x14ac:dyDescent="0.25">
      <c r="C14" s="5" t="s">
        <v>257</v>
      </c>
      <c r="D14" t="s">
        <v>256</v>
      </c>
      <c r="E14" t="s">
        <v>178</v>
      </c>
      <c r="F14" s="1">
        <v>8.25</v>
      </c>
      <c r="G14" s="1"/>
      <c r="H14" s="6"/>
    </row>
    <row r="15" spans="3:10" x14ac:dyDescent="0.25">
      <c r="C15" s="5" t="s">
        <v>176</v>
      </c>
      <c r="D15" t="s">
        <v>177</v>
      </c>
      <c r="E15" t="s">
        <v>178</v>
      </c>
      <c r="F15" s="1">
        <f>17.7/4</f>
        <v>4.4249999999999998</v>
      </c>
      <c r="G15" s="1"/>
      <c r="H15" s="6"/>
      <c r="I15">
        <v>2</v>
      </c>
    </row>
    <row r="16" spans="3:10" x14ac:dyDescent="0.25">
      <c r="C16" s="5" t="s">
        <v>190</v>
      </c>
      <c r="D16" t="s">
        <v>191</v>
      </c>
      <c r="E16" t="s">
        <v>192</v>
      </c>
      <c r="F16" s="1">
        <v>137.22</v>
      </c>
      <c r="G16" s="1"/>
      <c r="H16" s="6"/>
      <c r="I16">
        <v>1</v>
      </c>
    </row>
    <row r="17" spans="3:9" x14ac:dyDescent="0.25">
      <c r="C17" s="5" t="s">
        <v>67</v>
      </c>
      <c r="D17" t="s">
        <v>179</v>
      </c>
      <c r="E17" t="s">
        <v>66</v>
      </c>
      <c r="F17" s="1">
        <v>16.09</v>
      </c>
      <c r="G17" s="1"/>
      <c r="H17" s="7"/>
      <c r="I17" s="9">
        <v>1</v>
      </c>
    </row>
    <row r="18" spans="3:9" x14ac:dyDescent="0.25">
      <c r="C18" s="5" t="s">
        <v>35</v>
      </c>
      <c r="D18" t="s">
        <v>36</v>
      </c>
      <c r="E18" t="s">
        <v>6</v>
      </c>
      <c r="F18" s="1">
        <v>12.4</v>
      </c>
      <c r="G18" s="1"/>
      <c r="H18" s="6"/>
      <c r="I18">
        <v>2</v>
      </c>
    </row>
    <row r="19" spans="3:9" x14ac:dyDescent="0.25">
      <c r="C19" s="5" t="s">
        <v>11</v>
      </c>
      <c r="D19" t="s">
        <v>10</v>
      </c>
      <c r="E19" t="s">
        <v>5</v>
      </c>
      <c r="F19" s="1">
        <v>3</v>
      </c>
      <c r="G19" s="1"/>
      <c r="H19" s="6"/>
      <c r="I19">
        <v>6</v>
      </c>
    </row>
    <row r="20" spans="3:9" x14ac:dyDescent="0.25">
      <c r="C20" s="5" t="s">
        <v>13</v>
      </c>
      <c r="D20" t="s">
        <v>12</v>
      </c>
      <c r="E20" t="s">
        <v>5</v>
      </c>
      <c r="F20" s="1">
        <v>3.22</v>
      </c>
      <c r="G20" s="1"/>
      <c r="H20" s="6"/>
      <c r="I20">
        <v>6</v>
      </c>
    </row>
    <row r="21" spans="3:9" x14ac:dyDescent="0.25">
      <c r="C21" s="5" t="s">
        <v>26</v>
      </c>
      <c r="D21" t="s">
        <v>27</v>
      </c>
      <c r="E21" t="s">
        <v>243</v>
      </c>
      <c r="F21" s="1">
        <v>0.24</v>
      </c>
      <c r="G21" s="1"/>
      <c r="H21" s="6"/>
      <c r="I21">
        <v>39</v>
      </c>
    </row>
    <row r="22" spans="3:9" x14ac:dyDescent="0.25">
      <c r="C22" s="5" t="s">
        <v>14</v>
      </c>
      <c r="D22" t="s">
        <v>15</v>
      </c>
      <c r="E22" t="s">
        <v>243</v>
      </c>
      <c r="F22" s="1">
        <v>0.21199999999999999</v>
      </c>
      <c r="G22" s="1"/>
      <c r="H22" s="6"/>
      <c r="I22">
        <v>3</v>
      </c>
    </row>
    <row r="23" spans="3:9" x14ac:dyDescent="0.25">
      <c r="C23" s="5" t="s">
        <v>16</v>
      </c>
      <c r="D23" t="s">
        <v>17</v>
      </c>
      <c r="E23" t="s">
        <v>243</v>
      </c>
      <c r="F23" s="1">
        <v>0.188</v>
      </c>
      <c r="G23" s="1"/>
      <c r="H23" s="6"/>
      <c r="I23">
        <v>73</v>
      </c>
    </row>
    <row r="24" spans="3:9" x14ac:dyDescent="0.25">
      <c r="C24" s="5" t="s">
        <v>241</v>
      </c>
      <c r="D24" t="s">
        <v>242</v>
      </c>
      <c r="E24" t="s">
        <v>243</v>
      </c>
      <c r="F24" s="1">
        <f>20.5/100</f>
        <v>0.20499999999999999</v>
      </c>
      <c r="G24" s="1"/>
      <c r="H24" s="6"/>
    </row>
    <row r="25" spans="3:9" x14ac:dyDescent="0.25">
      <c r="C25" s="5" t="s">
        <v>219</v>
      </c>
      <c r="D25" t="s">
        <v>173</v>
      </c>
      <c r="E25" t="s">
        <v>243</v>
      </c>
      <c r="F25" s="1">
        <f>15.7/100</f>
        <v>0.157</v>
      </c>
      <c r="G25" s="1"/>
      <c r="H25" s="6"/>
      <c r="I25">
        <v>27</v>
      </c>
    </row>
    <row r="26" spans="3:9" x14ac:dyDescent="0.25">
      <c r="C26" s="5" t="s">
        <v>18</v>
      </c>
      <c r="D26" t="s">
        <v>19</v>
      </c>
      <c r="E26" t="s">
        <v>243</v>
      </c>
      <c r="F26" s="1">
        <v>0.183</v>
      </c>
      <c r="G26" s="1"/>
      <c r="H26" s="6"/>
      <c r="I26">
        <v>14</v>
      </c>
    </row>
    <row r="27" spans="3:9" x14ac:dyDescent="0.25">
      <c r="C27" s="5" t="s">
        <v>20</v>
      </c>
      <c r="D27" t="s">
        <v>21</v>
      </c>
      <c r="E27" t="s">
        <v>243</v>
      </c>
      <c r="F27" s="1">
        <v>0.23600000000000002</v>
      </c>
      <c r="G27" s="1"/>
      <c r="H27" s="6"/>
      <c r="I27">
        <v>138</v>
      </c>
    </row>
    <row r="28" spans="3:9" x14ac:dyDescent="0.25">
      <c r="C28" s="5" t="s">
        <v>174</v>
      </c>
      <c r="D28" t="s">
        <v>175</v>
      </c>
      <c r="E28" t="s">
        <v>243</v>
      </c>
      <c r="F28" s="1">
        <f>15.8/100</f>
        <v>0.158</v>
      </c>
      <c r="G28" s="1"/>
      <c r="H28" s="6"/>
      <c r="I28">
        <v>8</v>
      </c>
    </row>
    <row r="29" spans="3:9" x14ac:dyDescent="0.25">
      <c r="C29" s="5" t="s">
        <v>22</v>
      </c>
      <c r="D29" t="s">
        <v>23</v>
      </c>
      <c r="E29" t="s">
        <v>243</v>
      </c>
      <c r="F29" s="1">
        <v>9.4E-2</v>
      </c>
      <c r="G29" s="1"/>
      <c r="H29" s="6"/>
      <c r="I29">
        <v>3</v>
      </c>
    </row>
    <row r="30" spans="3:9" x14ac:dyDescent="0.25">
      <c r="C30" s="5" t="s">
        <v>48</v>
      </c>
      <c r="D30" t="s">
        <v>57</v>
      </c>
      <c r="E30" t="s">
        <v>243</v>
      </c>
      <c r="F30" s="1">
        <f>12.85/100</f>
        <v>0.1285</v>
      </c>
      <c r="G30" s="1"/>
      <c r="H30" s="6"/>
      <c r="I30">
        <v>3</v>
      </c>
    </row>
    <row r="31" spans="3:9" x14ac:dyDescent="0.25">
      <c r="C31" s="5" t="s">
        <v>24</v>
      </c>
      <c r="D31" t="s">
        <v>25</v>
      </c>
      <c r="E31" t="s">
        <v>243</v>
      </c>
      <c r="F31" s="1">
        <v>3.2000000000000001E-2</v>
      </c>
      <c r="G31" s="1"/>
      <c r="H31" s="6"/>
      <c r="I31">
        <v>55</v>
      </c>
    </row>
    <row r="32" spans="3:9" x14ac:dyDescent="0.25">
      <c r="C32" s="5" t="s">
        <v>70</v>
      </c>
      <c r="D32" t="s">
        <v>183</v>
      </c>
      <c r="E32" t="s">
        <v>58</v>
      </c>
      <c r="F32" s="1">
        <v>18.91</v>
      </c>
      <c r="G32" s="1"/>
      <c r="H32" s="6"/>
      <c r="I32">
        <v>1</v>
      </c>
    </row>
    <row r="33" spans="3:16" x14ac:dyDescent="0.25">
      <c r="C33" s="5" t="s">
        <v>251</v>
      </c>
      <c r="D33" t="s">
        <v>184</v>
      </c>
      <c r="E33" t="s">
        <v>58</v>
      </c>
      <c r="F33" s="1">
        <v>6.3</v>
      </c>
      <c r="G33" s="1"/>
      <c r="H33" s="6"/>
      <c r="I33">
        <v>1</v>
      </c>
    </row>
    <row r="34" spans="3:16" x14ac:dyDescent="0.25">
      <c r="C34" s="5" t="s">
        <v>62</v>
      </c>
      <c r="D34" t="s">
        <v>185</v>
      </c>
      <c r="E34" t="s">
        <v>61</v>
      </c>
      <c r="F34" s="1">
        <v>127.08</v>
      </c>
      <c r="G34" s="1"/>
      <c r="H34" s="6"/>
      <c r="I34">
        <v>1</v>
      </c>
    </row>
    <row r="35" spans="3:16" x14ac:dyDescent="0.25">
      <c r="C35" s="5" t="s">
        <v>59</v>
      </c>
      <c r="D35" t="s">
        <v>60</v>
      </c>
      <c r="E35" t="s">
        <v>61</v>
      </c>
      <c r="F35" s="1">
        <v>210</v>
      </c>
      <c r="G35" s="1"/>
      <c r="H35" s="7"/>
      <c r="I35" s="9">
        <v>1</v>
      </c>
    </row>
    <row r="36" spans="3:16" x14ac:dyDescent="0.25">
      <c r="C36" s="5" t="s">
        <v>246</v>
      </c>
      <c r="D36" t="s">
        <v>248</v>
      </c>
      <c r="E36" t="s">
        <v>247</v>
      </c>
      <c r="F36" s="1">
        <v>8.89</v>
      </c>
      <c r="G36" s="1"/>
      <c r="H36" s="6"/>
      <c r="I36">
        <v>1</v>
      </c>
    </row>
    <row r="37" spans="3:16" x14ac:dyDescent="0.25">
      <c r="C37" s="5" t="s">
        <v>74</v>
      </c>
      <c r="D37" t="s">
        <v>73</v>
      </c>
      <c r="E37" t="s">
        <v>194</v>
      </c>
      <c r="F37" s="1">
        <v>64.900000000000006</v>
      </c>
      <c r="G37" s="1"/>
      <c r="H37" s="6"/>
      <c r="I37">
        <v>1</v>
      </c>
    </row>
    <row r="38" spans="3:16" x14ac:dyDescent="0.25">
      <c r="C38" s="5" t="s">
        <v>186</v>
      </c>
      <c r="D38" t="s">
        <v>80</v>
      </c>
      <c r="E38" t="s">
        <v>187</v>
      </c>
      <c r="F38" s="1">
        <v>67.069999999999993</v>
      </c>
      <c r="G38" s="1"/>
      <c r="H38" s="6"/>
      <c r="I38">
        <v>6</v>
      </c>
    </row>
    <row r="39" spans="3:16" x14ac:dyDescent="0.25">
      <c r="C39" s="5" t="s">
        <v>28</v>
      </c>
      <c r="D39" t="s">
        <v>29</v>
      </c>
      <c r="E39" t="s">
        <v>34</v>
      </c>
      <c r="F39" s="1">
        <v>0.69</v>
      </c>
      <c r="G39" s="1"/>
      <c r="H39" s="6"/>
      <c r="I39">
        <v>60</v>
      </c>
    </row>
    <row r="40" spans="3:16" x14ac:dyDescent="0.25">
      <c r="C40" s="8" t="s">
        <v>238</v>
      </c>
      <c r="D40" t="s">
        <v>239</v>
      </c>
      <c r="E40" t="s">
        <v>240</v>
      </c>
      <c r="F40" s="1">
        <v>0.36</v>
      </c>
      <c r="G40" s="1"/>
      <c r="H40" s="7"/>
      <c r="I40" s="9">
        <v>6</v>
      </c>
    </row>
    <row r="41" spans="3:16" x14ac:dyDescent="0.25">
      <c r="C41" s="5" t="s">
        <v>244</v>
      </c>
      <c r="D41" t="s">
        <v>272</v>
      </c>
      <c r="E41" t="s">
        <v>4</v>
      </c>
      <c r="F41" s="1">
        <f>Catalogue_Components[[#This Row],[Length (Alu Profiles)]]/1000*$O$47+$O$48</f>
        <v>9.4855199999999993</v>
      </c>
      <c r="G41" s="1"/>
      <c r="H41" s="6">
        <v>346</v>
      </c>
    </row>
    <row r="42" spans="3:16" x14ac:dyDescent="0.25">
      <c r="C42" s="5" t="s">
        <v>245</v>
      </c>
      <c r="D42" t="s">
        <v>273</v>
      </c>
      <c r="E42" t="s">
        <v>4</v>
      </c>
      <c r="F42" s="1">
        <f>Catalogue_Components[[#This Row],[Length (Alu Profiles)]]/1000*$O$47+$O$48</f>
        <v>7.4239999999999995</v>
      </c>
      <c r="G42" s="1"/>
      <c r="H42" s="6">
        <v>200</v>
      </c>
    </row>
    <row r="43" spans="3:16" x14ac:dyDescent="0.25">
      <c r="C43" s="5" t="s">
        <v>75</v>
      </c>
      <c r="D43" t="s">
        <v>274</v>
      </c>
      <c r="E43" t="s">
        <v>4</v>
      </c>
      <c r="F43" s="1">
        <f>Catalogue_Components[[#This Row],[Length (Alu Profiles)]]/1000*$O$47+$O$48</f>
        <v>17.957519999999999</v>
      </c>
      <c r="G43" s="1"/>
      <c r="H43" s="6">
        <v>946</v>
      </c>
      <c r="I43">
        <v>4</v>
      </c>
    </row>
    <row r="44" spans="3:16" x14ac:dyDescent="0.25">
      <c r="C44" s="5" t="s">
        <v>76</v>
      </c>
      <c r="D44" t="s">
        <v>275</v>
      </c>
      <c r="E44" t="s">
        <v>4</v>
      </c>
      <c r="F44" s="1">
        <f>Catalogue_Components[[#This Row],[Length (Alu Profiles)]]/1000*$O$47+$O$48</f>
        <v>8.9207199999999993</v>
      </c>
      <c r="G44" s="1"/>
      <c r="H44" s="6">
        <v>306</v>
      </c>
      <c r="I44">
        <v>4</v>
      </c>
    </row>
    <row r="45" spans="3:16" x14ac:dyDescent="0.25">
      <c r="C45" s="5" t="s">
        <v>81</v>
      </c>
      <c r="D45" t="s">
        <v>276</v>
      </c>
      <c r="E45" t="s">
        <v>4</v>
      </c>
      <c r="F45" s="1">
        <f>Catalogue_Components[[#This Row],[Length (Alu Profiles)]]/1000*$O$47+$O$48</f>
        <v>7.5087199999999994</v>
      </c>
      <c r="G45" s="1"/>
      <c r="H45" s="6">
        <v>206</v>
      </c>
      <c r="I45">
        <v>4</v>
      </c>
    </row>
    <row r="46" spans="3:16" x14ac:dyDescent="0.25">
      <c r="C46" s="5" t="s">
        <v>63</v>
      </c>
      <c r="D46" t="s">
        <v>277</v>
      </c>
      <c r="E46" t="s">
        <v>4</v>
      </c>
      <c r="F46" s="1">
        <f>Catalogue_Components[[#This Row],[Length (Alu Profiles)]]/1000*$O$47+$O$48</f>
        <v>8.4830000000000005</v>
      </c>
      <c r="G46" s="1"/>
      <c r="H46" s="6">
        <v>275</v>
      </c>
    </row>
    <row r="47" spans="3:16" x14ac:dyDescent="0.25">
      <c r="C47" s="5" t="s">
        <v>77</v>
      </c>
      <c r="D47" t="s">
        <v>278</v>
      </c>
      <c r="E47" t="s">
        <v>4</v>
      </c>
      <c r="F47" s="1">
        <f>Catalogue_Components[[#This Row],[Length (Alu Profiles)]]/1000*$O$47+$O$48</f>
        <v>6.5979799999999997</v>
      </c>
      <c r="G47" s="1"/>
      <c r="H47" s="6">
        <v>141.5</v>
      </c>
      <c r="N47" s="2" t="s">
        <v>88</v>
      </c>
      <c r="O47" s="1">
        <v>14.12</v>
      </c>
      <c r="P47" t="s">
        <v>82</v>
      </c>
    </row>
    <row r="48" spans="3:16" x14ac:dyDescent="0.25">
      <c r="C48" s="5" t="s">
        <v>78</v>
      </c>
      <c r="D48" t="s">
        <v>279</v>
      </c>
      <c r="E48" t="s">
        <v>4</v>
      </c>
      <c r="F48" s="1">
        <f>Catalogue_Components[[#This Row],[Length (Alu Profiles)]]/1000*$O$47+$O$48</f>
        <v>11.518799999999999</v>
      </c>
      <c r="G48" s="1"/>
      <c r="H48" s="6">
        <v>490</v>
      </c>
      <c r="N48" s="3" t="s">
        <v>83</v>
      </c>
      <c r="O48" s="1">
        <v>4.5999999999999996</v>
      </c>
      <c r="P48" t="s">
        <v>84</v>
      </c>
    </row>
    <row r="49" spans="1:9" x14ac:dyDescent="0.25">
      <c r="C49" s="5" t="s">
        <v>79</v>
      </c>
      <c r="D49" t="s">
        <v>280</v>
      </c>
      <c r="E49" t="s">
        <v>4</v>
      </c>
      <c r="F49" s="1">
        <f>Catalogue_Components[[#This Row],[Length (Alu Profiles)]]/1000*$O$47+$O$48</f>
        <v>7.9887999999999995</v>
      </c>
      <c r="G49" s="1"/>
      <c r="H49" s="6">
        <v>240</v>
      </c>
    </row>
    <row r="50" spans="1:9" x14ac:dyDescent="0.25">
      <c r="C50" s="5" t="s">
        <v>233</v>
      </c>
      <c r="D50" t="s">
        <v>234</v>
      </c>
      <c r="E50" t="s">
        <v>235</v>
      </c>
      <c r="F50" s="1"/>
      <c r="G50" s="1"/>
      <c r="H50" s="6"/>
      <c r="I50">
        <v>1</v>
      </c>
    </row>
    <row r="51" spans="1:9" x14ac:dyDescent="0.25">
      <c r="C51" s="5" t="s">
        <v>236</v>
      </c>
      <c r="D51" t="s">
        <v>234</v>
      </c>
      <c r="E51" t="s">
        <v>235</v>
      </c>
      <c r="F51" s="1"/>
      <c r="G51" s="1"/>
      <c r="H51" s="6"/>
      <c r="I51">
        <v>1</v>
      </c>
    </row>
    <row r="52" spans="1:9" x14ac:dyDescent="0.25">
      <c r="C52" s="5" t="s">
        <v>260</v>
      </c>
      <c r="D52" t="s">
        <v>259</v>
      </c>
      <c r="E52" t="s">
        <v>258</v>
      </c>
      <c r="F52" s="1"/>
      <c r="G52" s="1"/>
      <c r="H52" s="6"/>
    </row>
    <row r="53" spans="1:9" x14ac:dyDescent="0.25">
      <c r="C53" s="5" t="s">
        <v>32</v>
      </c>
      <c r="D53" t="s">
        <v>31</v>
      </c>
      <c r="E53" t="s">
        <v>5</v>
      </c>
      <c r="F53" s="1">
        <v>6.58</v>
      </c>
      <c r="G53" s="1"/>
      <c r="H53" s="6"/>
      <c r="I53">
        <v>3</v>
      </c>
    </row>
    <row r="54" spans="1:9" x14ac:dyDescent="0.25">
      <c r="C54" s="5" t="s">
        <v>268</v>
      </c>
      <c r="D54" t="s">
        <v>269</v>
      </c>
      <c r="E54" t="s">
        <v>243</v>
      </c>
      <c r="F54" s="1">
        <f>17.8/100</f>
        <v>0.17800000000000002</v>
      </c>
      <c r="G54" s="1"/>
      <c r="H54" s="6"/>
    </row>
    <row r="55" spans="1:9" x14ac:dyDescent="0.25">
      <c r="C55" s="5" t="s">
        <v>270</v>
      </c>
      <c r="D55" t="s">
        <v>271</v>
      </c>
      <c r="E55" t="s">
        <v>243</v>
      </c>
      <c r="F55" s="1">
        <f>18.1/100</f>
        <v>0.18100000000000002</v>
      </c>
      <c r="G55" s="1"/>
      <c r="H55" s="6"/>
    </row>
    <row r="56" spans="1:9" x14ac:dyDescent="0.25">
      <c r="C56" s="5" t="s">
        <v>284</v>
      </c>
      <c r="D56" t="s">
        <v>183</v>
      </c>
      <c r="E56" t="s">
        <v>58</v>
      </c>
      <c r="F56" s="1">
        <v>29.48</v>
      </c>
      <c r="G56" s="1"/>
      <c r="H56" s="6"/>
    </row>
    <row r="57" spans="1:9" x14ac:dyDescent="0.25">
      <c r="A57" t="s">
        <v>89</v>
      </c>
      <c r="B57" t="s">
        <v>40</v>
      </c>
      <c r="C57" s="5" t="str">
        <f>MID(A57,5,6)</f>
        <v>ST0001</v>
      </c>
      <c r="D57" t="str">
        <f>RIGHT(A57,LEN(A57)-FIND("_",A57))</f>
        <v>Support Frame</v>
      </c>
      <c r="E57" t="s">
        <v>288</v>
      </c>
      <c r="F57" s="4"/>
      <c r="G57" s="4"/>
      <c r="H57" s="6" t="str">
        <f t="shared" ref="H57:H88" si="0">MID(A57, FIND("-", A57) + 1, 2)</f>
        <v>ST</v>
      </c>
      <c r="I57" t="s">
        <v>43</v>
      </c>
    </row>
    <row r="58" spans="1:9" x14ac:dyDescent="0.25">
      <c r="A58" t="s">
        <v>90</v>
      </c>
      <c r="B58" t="s">
        <v>40</v>
      </c>
      <c r="C58" s="5" t="str">
        <f>MID(A58,5,6)</f>
        <v>EL0000</v>
      </c>
      <c r="D58" t="str">
        <f>RIGHT(A58,LEN(A58)-FIND("_",A58))</f>
        <v>Electronics Box Assembly</v>
      </c>
      <c r="E58" t="s">
        <v>288</v>
      </c>
      <c r="F58" s="4"/>
      <c r="G58" s="4"/>
      <c r="H58" s="6" t="str">
        <f t="shared" si="0"/>
        <v>EL</v>
      </c>
      <c r="I58" t="s">
        <v>43</v>
      </c>
    </row>
    <row r="59" spans="1:9" x14ac:dyDescent="0.25">
      <c r="A59" t="s">
        <v>91</v>
      </c>
      <c r="B59" t="s">
        <v>40</v>
      </c>
      <c r="C59" s="5" t="str">
        <f t="shared" ref="C59:C122" si="1">MID(A59,5,6)</f>
        <v>EL0002</v>
      </c>
      <c r="D59" t="str">
        <f t="shared" ref="D59:D122" si="2">RIGHT(A59,LEN(A59)-FIND("_",A59))</f>
        <v>Electronics item frame assembly</v>
      </c>
      <c r="E59" t="s">
        <v>288</v>
      </c>
      <c r="F59" s="4"/>
      <c r="G59" s="4"/>
      <c r="H59" s="6" t="str">
        <f t="shared" si="0"/>
        <v>EL</v>
      </c>
      <c r="I59" t="s">
        <v>43</v>
      </c>
    </row>
    <row r="60" spans="1:9" x14ac:dyDescent="0.25">
      <c r="A60" t="s">
        <v>92</v>
      </c>
      <c r="B60" t="s">
        <v>40</v>
      </c>
      <c r="C60" s="5" t="str">
        <f t="shared" si="1"/>
        <v>EL0003</v>
      </c>
      <c r="D60" t="str">
        <f t="shared" si="2"/>
        <v>Cover Rear</v>
      </c>
      <c r="E60" t="s">
        <v>288</v>
      </c>
      <c r="F60" s="4"/>
      <c r="G60" s="4"/>
      <c r="H60" s="6" t="str">
        <f t="shared" si="0"/>
        <v>EL</v>
      </c>
      <c r="I60" t="s">
        <v>264</v>
      </c>
    </row>
    <row r="61" spans="1:9" x14ac:dyDescent="0.25">
      <c r="A61" t="s">
        <v>93</v>
      </c>
      <c r="B61" t="s">
        <v>40</v>
      </c>
      <c r="C61" s="5" t="str">
        <f t="shared" si="1"/>
        <v>EL0004</v>
      </c>
      <c r="D61" t="str">
        <f t="shared" si="2"/>
        <v>Cover Floor</v>
      </c>
      <c r="E61" t="s">
        <v>288</v>
      </c>
      <c r="F61" s="4"/>
      <c r="G61" s="4"/>
      <c r="H61" s="6" t="str">
        <f t="shared" si="0"/>
        <v>EL</v>
      </c>
      <c r="I61" t="s">
        <v>264</v>
      </c>
    </row>
    <row r="62" spans="1:9" x14ac:dyDescent="0.25">
      <c r="A62" t="s">
        <v>94</v>
      </c>
      <c r="B62" t="s">
        <v>40</v>
      </c>
      <c r="C62" s="5" t="str">
        <f t="shared" si="1"/>
        <v>EL0005</v>
      </c>
      <c r="D62" t="str">
        <f t="shared" si="2"/>
        <v>Cover Plexi Front</v>
      </c>
      <c r="E62" t="s">
        <v>288</v>
      </c>
      <c r="F62" s="4"/>
      <c r="G62" s="4"/>
      <c r="H62" s="6" t="str">
        <f t="shared" si="0"/>
        <v>EL</v>
      </c>
      <c r="I62" t="s">
        <v>263</v>
      </c>
    </row>
    <row r="63" spans="1:9" x14ac:dyDescent="0.25">
      <c r="A63" t="s">
        <v>95</v>
      </c>
      <c r="B63" t="s">
        <v>40</v>
      </c>
      <c r="C63" s="5" t="str">
        <f t="shared" si="1"/>
        <v>EL0006</v>
      </c>
      <c r="D63" t="s">
        <v>359</v>
      </c>
      <c r="E63" t="s">
        <v>288</v>
      </c>
      <c r="F63" s="1"/>
      <c r="G63" s="11">
        <v>4.3055555555555555E-2</v>
      </c>
      <c r="H63" s="6" t="str">
        <f t="shared" si="0"/>
        <v>EL</v>
      </c>
      <c r="I63" t="s">
        <v>42</v>
      </c>
    </row>
    <row r="64" spans="1:9" x14ac:dyDescent="0.25">
      <c r="A64" t="s">
        <v>96</v>
      </c>
      <c r="B64" t="s">
        <v>40</v>
      </c>
      <c r="C64" s="5" t="str">
        <f t="shared" si="1"/>
        <v>EL0007</v>
      </c>
      <c r="D64" t="str">
        <f t="shared" si="2"/>
        <v>Cover Plexi Top</v>
      </c>
      <c r="E64" t="s">
        <v>288</v>
      </c>
      <c r="F64" s="1"/>
      <c r="G64" s="11"/>
      <c r="H64" s="6" t="str">
        <f t="shared" si="0"/>
        <v>EL</v>
      </c>
      <c r="I64" t="s">
        <v>263</v>
      </c>
    </row>
    <row r="65" spans="1:9" x14ac:dyDescent="0.25">
      <c r="A65" t="s">
        <v>97</v>
      </c>
      <c r="B65" t="s">
        <v>40</v>
      </c>
      <c r="C65" s="5" t="str">
        <f t="shared" si="1"/>
        <v>EL0008</v>
      </c>
      <c r="D65" t="str">
        <f t="shared" si="2"/>
        <v>LED Driver Base 1</v>
      </c>
      <c r="E65" t="s">
        <v>288</v>
      </c>
      <c r="F65" s="1"/>
      <c r="G65" s="11">
        <v>1.2500000000000001E-2</v>
      </c>
      <c r="H65" s="6" t="str">
        <f t="shared" si="0"/>
        <v>EL</v>
      </c>
      <c r="I65" t="s">
        <v>42</v>
      </c>
    </row>
    <row r="66" spans="1:9" x14ac:dyDescent="0.25">
      <c r="A66" t="s">
        <v>98</v>
      </c>
      <c r="B66" t="s">
        <v>40</v>
      </c>
      <c r="C66" s="5" t="str">
        <f t="shared" si="1"/>
        <v>EL0009</v>
      </c>
      <c r="D66" t="str">
        <f t="shared" si="2"/>
        <v>LED Driver Base 2</v>
      </c>
      <c r="E66" t="s">
        <v>288</v>
      </c>
      <c r="F66" s="1"/>
      <c r="G66" s="11">
        <v>1.2500000000000001E-2</v>
      </c>
      <c r="H66" s="6" t="str">
        <f t="shared" si="0"/>
        <v>EL</v>
      </c>
      <c r="I66" t="s">
        <v>42</v>
      </c>
    </row>
    <row r="67" spans="1:9" x14ac:dyDescent="0.25">
      <c r="A67" t="s">
        <v>99</v>
      </c>
      <c r="B67" t="s">
        <v>40</v>
      </c>
      <c r="C67" s="5" t="str">
        <f t="shared" si="1"/>
        <v>EL0010</v>
      </c>
      <c r="D67" t="str">
        <f t="shared" si="2"/>
        <v>LED Driver Clip</v>
      </c>
      <c r="E67" t="s">
        <v>288</v>
      </c>
      <c r="F67" s="1"/>
      <c r="G67" s="11">
        <v>1.4583333333333334E-2</v>
      </c>
      <c r="H67" s="6" t="str">
        <f t="shared" si="0"/>
        <v>EL</v>
      </c>
      <c r="I67" t="s">
        <v>42</v>
      </c>
    </row>
    <row r="68" spans="1:9" x14ac:dyDescent="0.25">
      <c r="A68" t="s">
        <v>100</v>
      </c>
      <c r="B68" t="s">
        <v>40</v>
      </c>
      <c r="C68" s="5" t="str">
        <f t="shared" si="1"/>
        <v>EL0011</v>
      </c>
      <c r="D68" t="str">
        <f>RIGHT(A68,LEN(A68)-FIND("_",A68))</f>
        <v>TorqueAmp Holder Bot</v>
      </c>
      <c r="E68" t="s">
        <v>288</v>
      </c>
      <c r="F68" s="1"/>
      <c r="G68" s="11">
        <v>1.5277777777777777E-2</v>
      </c>
      <c r="H68" s="6" t="str">
        <f t="shared" si="0"/>
        <v>EL</v>
      </c>
      <c r="I68" t="s">
        <v>42</v>
      </c>
    </row>
    <row r="69" spans="1:9" x14ac:dyDescent="0.25">
      <c r="A69" t="s">
        <v>101</v>
      </c>
      <c r="B69" t="s">
        <v>40</v>
      </c>
      <c r="C69" s="5" t="str">
        <f t="shared" si="1"/>
        <v>EL0012</v>
      </c>
      <c r="D69" t="str">
        <f t="shared" si="2"/>
        <v>TorqueAmp Holder Top</v>
      </c>
      <c r="E69" t="s">
        <v>288</v>
      </c>
      <c r="F69" s="1"/>
      <c r="G69" s="11">
        <v>1.4583333333333334E-2</v>
      </c>
      <c r="H69" s="6" t="str">
        <f t="shared" si="0"/>
        <v>EL</v>
      </c>
      <c r="I69" t="s">
        <v>42</v>
      </c>
    </row>
    <row r="70" spans="1:9" x14ac:dyDescent="0.25">
      <c r="A70" t="s">
        <v>102</v>
      </c>
      <c r="B70" t="s">
        <v>40</v>
      </c>
      <c r="C70" s="5" t="str">
        <f t="shared" si="1"/>
        <v>EL0013</v>
      </c>
      <c r="D70" t="str">
        <f t="shared" si="2"/>
        <v>Cover Connectors</v>
      </c>
      <c r="E70" t="s">
        <v>288</v>
      </c>
      <c r="F70" s="1"/>
      <c r="G70" s="11">
        <v>8.6805555555555552E-2</v>
      </c>
      <c r="H70" s="6" t="str">
        <f t="shared" si="0"/>
        <v>EL</v>
      </c>
      <c r="I70" t="s">
        <v>42</v>
      </c>
    </row>
    <row r="71" spans="1:9" x14ac:dyDescent="0.25">
      <c r="A71" t="s">
        <v>103</v>
      </c>
      <c r="B71" t="s">
        <v>40</v>
      </c>
      <c r="C71" s="5" t="str">
        <f t="shared" si="1"/>
        <v>EL0014</v>
      </c>
      <c r="D71" t="str">
        <f t="shared" si="2"/>
        <v>Kvaser CAN Tranciever Holder</v>
      </c>
      <c r="E71" t="s">
        <v>288</v>
      </c>
      <c r="F71" s="1"/>
      <c r="G71" s="11">
        <v>2.7083333333333334E-2</v>
      </c>
      <c r="H71" s="6" t="str">
        <f t="shared" si="0"/>
        <v>EL</v>
      </c>
      <c r="I71" t="s">
        <v>42</v>
      </c>
    </row>
    <row r="72" spans="1:9" x14ac:dyDescent="0.25">
      <c r="A72" t="s">
        <v>104</v>
      </c>
      <c r="B72" t="s">
        <v>40</v>
      </c>
      <c r="C72" s="5" t="str">
        <f t="shared" si="1"/>
        <v>EL0015</v>
      </c>
      <c r="D72" t="str">
        <f t="shared" si="2"/>
        <v>Cable Duct Holder</v>
      </c>
      <c r="E72" t="s">
        <v>288</v>
      </c>
      <c r="F72" s="1"/>
      <c r="G72" s="11">
        <v>4.1666666666666664E-2</v>
      </c>
      <c r="H72" s="6" t="str">
        <f t="shared" si="0"/>
        <v>EL</v>
      </c>
      <c r="I72" t="s">
        <v>42</v>
      </c>
    </row>
    <row r="73" spans="1:9" x14ac:dyDescent="0.25">
      <c r="A73" t="s">
        <v>105</v>
      </c>
      <c r="B73" t="s">
        <v>40</v>
      </c>
      <c r="C73" s="5" t="str">
        <f t="shared" si="1"/>
        <v>LV0010</v>
      </c>
      <c r="D73" t="str">
        <f t="shared" si="2"/>
        <v>Turning Vane Block Assembly</v>
      </c>
      <c r="E73" t="s">
        <v>288</v>
      </c>
      <c r="F73" s="1"/>
      <c r="G73" s="11"/>
      <c r="H73" s="6" t="str">
        <f t="shared" si="0"/>
        <v>LV</v>
      </c>
      <c r="I73" t="s">
        <v>43</v>
      </c>
    </row>
    <row r="74" spans="1:9" x14ac:dyDescent="0.25">
      <c r="A74" t="s">
        <v>55</v>
      </c>
      <c r="B74" t="s">
        <v>40</v>
      </c>
      <c r="C74" s="5" t="str">
        <f t="shared" si="1"/>
        <v>LV0011</v>
      </c>
      <c r="D74" t="str">
        <f t="shared" si="2"/>
        <v>Vanes Cover Side Lower Rear</v>
      </c>
      <c r="E74" t="s">
        <v>288</v>
      </c>
      <c r="F74" s="1"/>
      <c r="G74" s="11">
        <v>3.0555555555555555E-2</v>
      </c>
      <c r="H74" s="6" t="str">
        <f t="shared" si="0"/>
        <v>LV</v>
      </c>
      <c r="I74" t="s">
        <v>42</v>
      </c>
    </row>
    <row r="75" spans="1:9" x14ac:dyDescent="0.25">
      <c r="A75" t="s">
        <v>56</v>
      </c>
      <c r="B75" t="s">
        <v>40</v>
      </c>
      <c r="C75" s="5" t="str">
        <f t="shared" si="1"/>
        <v>LV0012</v>
      </c>
      <c r="D75" t="str">
        <f t="shared" si="2"/>
        <v>Vanes Cover Side Lower Front</v>
      </c>
      <c r="E75" t="s">
        <v>288</v>
      </c>
      <c r="F75" s="1"/>
      <c r="G75" s="11">
        <v>6.5972222222222224E-2</v>
      </c>
      <c r="H75" s="6" t="str">
        <f t="shared" si="0"/>
        <v>LV</v>
      </c>
      <c r="I75" t="s">
        <v>42</v>
      </c>
    </row>
    <row r="76" spans="1:9" x14ac:dyDescent="0.25">
      <c r="A76" t="s">
        <v>106</v>
      </c>
      <c r="B76" t="s">
        <v>40</v>
      </c>
      <c r="C76" s="5" t="str">
        <f t="shared" si="1"/>
        <v>LV0013</v>
      </c>
      <c r="D76" t="str">
        <f t="shared" si="2"/>
        <v>Vanes Cover Side Upper Rear</v>
      </c>
      <c r="E76" t="s">
        <v>288</v>
      </c>
      <c r="F76" s="1"/>
      <c r="G76" s="11">
        <v>4.8611111111111112E-2</v>
      </c>
      <c r="H76" s="6" t="str">
        <f t="shared" si="0"/>
        <v>LV</v>
      </c>
      <c r="I76" t="s">
        <v>42</v>
      </c>
    </row>
    <row r="77" spans="1:9" x14ac:dyDescent="0.25">
      <c r="A77" t="s">
        <v>107</v>
      </c>
      <c r="B77" t="s">
        <v>40</v>
      </c>
      <c r="C77" s="5" t="str">
        <f t="shared" si="1"/>
        <v>LV0014</v>
      </c>
      <c r="D77" t="str">
        <f t="shared" si="2"/>
        <v>Vanes Cover Side Upper Front</v>
      </c>
      <c r="E77" t="s">
        <v>288</v>
      </c>
      <c r="F77" s="1"/>
      <c r="G77" s="11">
        <v>8.5416666666666669E-2</v>
      </c>
      <c r="H77" s="6" t="str">
        <f t="shared" si="0"/>
        <v>LV</v>
      </c>
      <c r="I77" t="s">
        <v>42</v>
      </c>
    </row>
    <row r="78" spans="1:9" x14ac:dyDescent="0.25">
      <c r="A78" t="s">
        <v>108</v>
      </c>
      <c r="B78" t="s">
        <v>40</v>
      </c>
      <c r="C78" s="5" t="str">
        <f t="shared" si="1"/>
        <v>LV0110</v>
      </c>
      <c r="D78" t="str">
        <f t="shared" si="2"/>
        <v>Left Turning Vane Complete Assembly</v>
      </c>
      <c r="E78" t="s">
        <v>288</v>
      </c>
      <c r="F78" s="1"/>
      <c r="G78" s="11"/>
      <c r="H78" s="6" t="str">
        <f t="shared" si="0"/>
        <v>LV</v>
      </c>
      <c r="I78" t="s">
        <v>43</v>
      </c>
    </row>
    <row r="79" spans="1:9" x14ac:dyDescent="0.25">
      <c r="A79" t="s">
        <v>109</v>
      </c>
      <c r="B79" t="s">
        <v>40</v>
      </c>
      <c r="C79" s="5" t="str">
        <f t="shared" si="1"/>
        <v>PR0001</v>
      </c>
      <c r="D79" t="str">
        <f t="shared" si="2"/>
        <v>Snap Holder</v>
      </c>
      <c r="E79" t="s">
        <v>288</v>
      </c>
      <c r="F79" s="1"/>
      <c r="G79" s="11">
        <v>2.0833333333333332E-2</v>
      </c>
      <c r="H79" s="6" t="str">
        <f t="shared" si="0"/>
        <v>PR</v>
      </c>
      <c r="I79" t="s">
        <v>42</v>
      </c>
    </row>
    <row r="80" spans="1:9" x14ac:dyDescent="0.25">
      <c r="A80" t="s">
        <v>110</v>
      </c>
      <c r="B80" t="s">
        <v>40</v>
      </c>
      <c r="C80" s="5" t="str">
        <f t="shared" si="1"/>
        <v>PR0002</v>
      </c>
      <c r="D80" t="str">
        <f t="shared" si="2"/>
        <v>Connector Structure</v>
      </c>
      <c r="E80" t="s">
        <v>288</v>
      </c>
      <c r="F80" s="1"/>
      <c r="G80" s="11">
        <v>1.4583333333333334E-2</v>
      </c>
      <c r="H80" s="6" t="str">
        <f t="shared" si="0"/>
        <v>PR</v>
      </c>
      <c r="I80" t="s">
        <v>42</v>
      </c>
    </row>
    <row r="81" spans="1:9" x14ac:dyDescent="0.25">
      <c r="A81" t="s">
        <v>111</v>
      </c>
      <c r="B81" t="s">
        <v>40</v>
      </c>
      <c r="C81" s="5" t="str">
        <f t="shared" si="1"/>
        <v>PR0003</v>
      </c>
      <c r="D81" t="str">
        <f t="shared" si="2"/>
        <v>Motor Magnet Holder</v>
      </c>
      <c r="E81" t="s">
        <v>288</v>
      </c>
      <c r="F81" s="1"/>
      <c r="G81" s="11">
        <v>2.013888888888889E-2</v>
      </c>
      <c r="H81" s="6" t="str">
        <f t="shared" si="0"/>
        <v>PR</v>
      </c>
      <c r="I81" t="s">
        <v>42</v>
      </c>
    </row>
    <row r="82" spans="1:9" x14ac:dyDescent="0.25">
      <c r="A82" t="s">
        <v>112</v>
      </c>
      <c r="B82" t="s">
        <v>40</v>
      </c>
      <c r="C82" s="5" t="str">
        <f t="shared" si="1"/>
        <v>PR0004</v>
      </c>
      <c r="D82" t="str">
        <f t="shared" si="2"/>
        <v>PCB Holder</v>
      </c>
      <c r="E82" t="s">
        <v>288</v>
      </c>
      <c r="F82" s="1"/>
      <c r="G82" s="11">
        <v>4.8611111111111112E-3</v>
      </c>
      <c r="H82" s="6" t="str">
        <f t="shared" si="0"/>
        <v>PR</v>
      </c>
      <c r="I82" t="s">
        <v>42</v>
      </c>
    </row>
    <row r="83" spans="1:9" x14ac:dyDescent="0.25">
      <c r="A83" t="s">
        <v>113</v>
      </c>
      <c r="B83" t="s">
        <v>40</v>
      </c>
      <c r="C83" s="5" t="str">
        <f t="shared" si="1"/>
        <v>PR0005</v>
      </c>
      <c r="D83" t="str">
        <f t="shared" si="2"/>
        <v>Motor BUS PCB</v>
      </c>
      <c r="E83" t="s">
        <v>288</v>
      </c>
      <c r="F83" s="1"/>
      <c r="G83" s="11"/>
      <c r="H83" s="6" t="str">
        <f t="shared" si="0"/>
        <v>PR</v>
      </c>
      <c r="I83" t="s">
        <v>265</v>
      </c>
    </row>
    <row r="84" spans="1:9" x14ac:dyDescent="0.25">
      <c r="A84" t="s">
        <v>114</v>
      </c>
      <c r="B84" t="s">
        <v>40</v>
      </c>
      <c r="C84" s="5" t="str">
        <f t="shared" si="1"/>
        <v>PR0010</v>
      </c>
      <c r="D84" t="str">
        <f t="shared" si="2"/>
        <v>Propulsion Assembly</v>
      </c>
      <c r="E84" t="s">
        <v>288</v>
      </c>
      <c r="F84" s="1"/>
      <c r="G84" s="11"/>
      <c r="H84" s="6" t="str">
        <f t="shared" si="0"/>
        <v>PR</v>
      </c>
      <c r="I84" t="s">
        <v>43</v>
      </c>
    </row>
    <row r="85" spans="1:9" x14ac:dyDescent="0.25">
      <c r="A85" t="s">
        <v>115</v>
      </c>
      <c r="B85" t="s">
        <v>40</v>
      </c>
      <c r="C85" s="5" t="str">
        <f t="shared" si="1"/>
        <v>PR0011</v>
      </c>
      <c r="D85" t="str">
        <f t="shared" si="2"/>
        <v>Motor BUS PCB Assembly</v>
      </c>
      <c r="E85" t="s">
        <v>288</v>
      </c>
      <c r="F85" s="1"/>
      <c r="G85" s="11"/>
      <c r="H85" s="6" t="str">
        <f t="shared" si="0"/>
        <v>PR</v>
      </c>
      <c r="I85" t="s">
        <v>43</v>
      </c>
    </row>
    <row r="86" spans="1:9" x14ac:dyDescent="0.25">
      <c r="A86" t="s">
        <v>116</v>
      </c>
      <c r="B86" t="s">
        <v>40</v>
      </c>
      <c r="C86" s="5" t="str">
        <f t="shared" si="1"/>
        <v>RV0010</v>
      </c>
      <c r="D86" t="str">
        <f t="shared" si="2"/>
        <v>Turning Vanes Assembly</v>
      </c>
      <c r="E86" t="s">
        <v>288</v>
      </c>
      <c r="F86" s="1"/>
      <c r="G86" s="11"/>
      <c r="H86" s="6" t="str">
        <f t="shared" si="0"/>
        <v>RV</v>
      </c>
      <c r="I86" t="s">
        <v>43</v>
      </c>
    </row>
    <row r="87" spans="1:9" x14ac:dyDescent="0.25">
      <c r="A87" t="s">
        <v>117</v>
      </c>
      <c r="B87" t="s">
        <v>40</v>
      </c>
      <c r="C87" s="5" t="str">
        <f t="shared" si="1"/>
        <v>RV0011</v>
      </c>
      <c r="D87" t="str">
        <f t="shared" si="2"/>
        <v>Vanes Cover Side Upper Front</v>
      </c>
      <c r="E87" t="s">
        <v>288</v>
      </c>
      <c r="F87" s="1"/>
      <c r="G87" s="11">
        <v>7.2222222222222215E-2</v>
      </c>
      <c r="H87" s="6" t="str">
        <f t="shared" si="0"/>
        <v>RV</v>
      </c>
      <c r="I87" t="s">
        <v>42</v>
      </c>
    </row>
    <row r="88" spans="1:9" x14ac:dyDescent="0.25">
      <c r="A88" t="s">
        <v>118</v>
      </c>
      <c r="B88" t="s">
        <v>40</v>
      </c>
      <c r="C88" s="5" t="str">
        <f t="shared" si="1"/>
        <v>RV0012</v>
      </c>
      <c r="D88" t="str">
        <f t="shared" si="2"/>
        <v>Vanes Cover Side Upper Rear</v>
      </c>
      <c r="E88" t="s">
        <v>288</v>
      </c>
      <c r="F88" s="1"/>
      <c r="G88" s="11">
        <v>4.3055555555555555E-2</v>
      </c>
      <c r="H88" s="6" t="str">
        <f t="shared" si="0"/>
        <v>RV</v>
      </c>
      <c r="I88" t="s">
        <v>42</v>
      </c>
    </row>
    <row r="89" spans="1:9" x14ac:dyDescent="0.25">
      <c r="A89" t="s">
        <v>44</v>
      </c>
      <c r="B89" t="s">
        <v>40</v>
      </c>
      <c r="C89" s="5" t="str">
        <f t="shared" si="1"/>
        <v>RV0013</v>
      </c>
      <c r="D89" t="str">
        <f t="shared" si="2"/>
        <v>Vanes Cover Side Lower Front</v>
      </c>
      <c r="E89" t="s">
        <v>288</v>
      </c>
      <c r="F89" s="1"/>
      <c r="G89" s="11">
        <v>6.1111111111111109E-2</v>
      </c>
      <c r="H89" s="6" t="str">
        <f t="shared" ref="H89:H120" si="3">MID(A89, FIND("-", A89) + 1, 2)</f>
        <v>RV</v>
      </c>
      <c r="I89" t="s">
        <v>42</v>
      </c>
    </row>
    <row r="90" spans="1:9" x14ac:dyDescent="0.25">
      <c r="A90" t="s">
        <v>45</v>
      </c>
      <c r="B90" t="s">
        <v>40</v>
      </c>
      <c r="C90" s="5" t="str">
        <f t="shared" si="1"/>
        <v>RV0014</v>
      </c>
      <c r="D90" t="str">
        <f t="shared" si="2"/>
        <v>Vanes Cover Side Lower Rear</v>
      </c>
      <c r="E90" t="s">
        <v>288</v>
      </c>
      <c r="F90" s="1"/>
      <c r="G90" s="11">
        <v>2.8472222222222222E-2</v>
      </c>
      <c r="H90" s="6" t="str">
        <f t="shared" si="3"/>
        <v>RV</v>
      </c>
      <c r="I90" t="s">
        <v>42</v>
      </c>
    </row>
    <row r="91" spans="1:9" x14ac:dyDescent="0.25">
      <c r="A91" t="s">
        <v>46</v>
      </c>
      <c r="B91" t="s">
        <v>40</v>
      </c>
      <c r="C91" s="5" t="str">
        <f t="shared" si="1"/>
        <v>RV0016</v>
      </c>
      <c r="D91" t="str">
        <f t="shared" si="2"/>
        <v>Vanes Cover Front</v>
      </c>
      <c r="E91" t="s">
        <v>288</v>
      </c>
      <c r="F91" s="1"/>
      <c r="G91" s="11">
        <v>1.3194444444444444E-2</v>
      </c>
      <c r="H91" s="6" t="str">
        <f t="shared" si="3"/>
        <v>RV</v>
      </c>
      <c r="I91" t="s">
        <v>42</v>
      </c>
    </row>
    <row r="92" spans="1:9" x14ac:dyDescent="0.25">
      <c r="A92" t="s">
        <v>119</v>
      </c>
      <c r="B92" t="s">
        <v>40</v>
      </c>
      <c r="C92" s="5" t="str">
        <f t="shared" si="1"/>
        <v>RV0020</v>
      </c>
      <c r="D92" t="str">
        <f t="shared" si="2"/>
        <v>MagCoupling Assembly</v>
      </c>
      <c r="E92" t="s">
        <v>288</v>
      </c>
      <c r="F92" s="1"/>
      <c r="G92" s="11"/>
      <c r="H92" s="6" t="str">
        <f t="shared" si="3"/>
        <v>RV</v>
      </c>
      <c r="I92" t="s">
        <v>43</v>
      </c>
    </row>
    <row r="93" spans="1:9" x14ac:dyDescent="0.25">
      <c r="A93" t="s">
        <v>120</v>
      </c>
      <c r="B93" t="s">
        <v>40</v>
      </c>
      <c r="C93" s="5" t="str">
        <f t="shared" si="1"/>
        <v>RV0022</v>
      </c>
      <c r="D93" t="str">
        <f t="shared" si="2"/>
        <v>MagCoupling Magnet Holder</v>
      </c>
      <c r="E93" t="s">
        <v>288</v>
      </c>
      <c r="F93" s="1"/>
      <c r="G93" s="11">
        <v>1.4583333333333334E-2</v>
      </c>
      <c r="H93" s="6" t="str">
        <f t="shared" si="3"/>
        <v>RV</v>
      </c>
      <c r="I93" t="s">
        <v>42</v>
      </c>
    </row>
    <row r="94" spans="1:9" x14ac:dyDescent="0.25">
      <c r="A94" t="s">
        <v>121</v>
      </c>
      <c r="B94" t="s">
        <v>40</v>
      </c>
      <c r="C94" s="5" t="str">
        <f t="shared" si="1"/>
        <v>RV0024</v>
      </c>
      <c r="D94" t="str">
        <f t="shared" si="2"/>
        <v>MagCoupling Cover</v>
      </c>
      <c r="E94" t="s">
        <v>288</v>
      </c>
      <c r="F94" s="1"/>
      <c r="G94" s="11">
        <v>2.7777777777777776E-2</v>
      </c>
      <c r="H94" s="6" t="str">
        <f t="shared" si="3"/>
        <v>RV</v>
      </c>
      <c r="I94" t="s">
        <v>42</v>
      </c>
    </row>
    <row r="95" spans="1:9" x14ac:dyDescent="0.25">
      <c r="A95" t="s">
        <v>122</v>
      </c>
      <c r="B95" t="s">
        <v>40</v>
      </c>
      <c r="C95" s="5" t="str">
        <f t="shared" si="1"/>
        <v>RV0025</v>
      </c>
      <c r="D95" t="str">
        <f t="shared" si="2"/>
        <v>MagCoupling Axle</v>
      </c>
      <c r="E95" t="s">
        <v>288</v>
      </c>
      <c r="F95" s="1"/>
      <c r="G95" s="11"/>
      <c r="H95" s="6" t="str">
        <f t="shared" si="3"/>
        <v>RV</v>
      </c>
      <c r="I95" t="s">
        <v>266</v>
      </c>
    </row>
    <row r="96" spans="1:9" x14ac:dyDescent="0.25">
      <c r="A96" t="s">
        <v>47</v>
      </c>
      <c r="B96" t="s">
        <v>40</v>
      </c>
      <c r="C96" s="5" t="str">
        <f t="shared" si="1"/>
        <v>RV0026</v>
      </c>
      <c r="D96" t="str">
        <f t="shared" si="2"/>
        <v>MagCoupling Propeller Tip</v>
      </c>
      <c r="E96" t="s">
        <v>288</v>
      </c>
      <c r="F96" s="1"/>
      <c r="G96" s="11">
        <v>4.8611111111111112E-3</v>
      </c>
      <c r="H96" s="6" t="str">
        <f t="shared" si="3"/>
        <v>RV</v>
      </c>
      <c r="I96" t="s">
        <v>42</v>
      </c>
    </row>
    <row r="97" spans="1:9" x14ac:dyDescent="0.25">
      <c r="A97" t="s">
        <v>123</v>
      </c>
      <c r="B97" t="s">
        <v>40</v>
      </c>
      <c r="C97" s="5" t="str">
        <f t="shared" si="1"/>
        <v>RV0030</v>
      </c>
      <c r="D97" t="str">
        <f t="shared" si="2"/>
        <v>PropCowling Assembly</v>
      </c>
      <c r="E97" t="s">
        <v>288</v>
      </c>
      <c r="F97" s="1"/>
      <c r="G97" s="11"/>
      <c r="H97" s="6" t="str">
        <f t="shared" si="3"/>
        <v>RV</v>
      </c>
      <c r="I97" t="s">
        <v>43</v>
      </c>
    </row>
    <row r="98" spans="1:9" x14ac:dyDescent="0.25">
      <c r="A98" t="s">
        <v>54</v>
      </c>
      <c r="B98" t="s">
        <v>40</v>
      </c>
      <c r="C98" s="5" t="str">
        <f t="shared" si="1"/>
        <v>RV0031</v>
      </c>
      <c r="D98" t="str">
        <f t="shared" si="2"/>
        <v>PropCowling</v>
      </c>
      <c r="E98" t="s">
        <v>288</v>
      </c>
      <c r="F98" s="1"/>
      <c r="G98" s="11">
        <v>5.5555555555555552E-2</v>
      </c>
      <c r="H98" s="6" t="str">
        <f t="shared" si="3"/>
        <v>RV</v>
      </c>
      <c r="I98" t="s">
        <v>42</v>
      </c>
    </row>
    <row r="99" spans="1:9" x14ac:dyDescent="0.25">
      <c r="A99" t="s">
        <v>49</v>
      </c>
      <c r="B99" t="s">
        <v>40</v>
      </c>
      <c r="C99" s="5" t="str">
        <f t="shared" si="1"/>
        <v>RV0032</v>
      </c>
      <c r="D99" t="str">
        <f t="shared" si="2"/>
        <v>PropCowling Bearing Holder</v>
      </c>
      <c r="E99" t="s">
        <v>288</v>
      </c>
      <c r="F99" s="1"/>
      <c r="G99" s="11">
        <v>6.9444444444444441E-3</v>
      </c>
      <c r="H99" s="6" t="str">
        <f t="shared" si="3"/>
        <v>RV</v>
      </c>
      <c r="I99" t="s">
        <v>42</v>
      </c>
    </row>
    <row r="100" spans="1:9" x14ac:dyDescent="0.25">
      <c r="A100" t="s">
        <v>50</v>
      </c>
      <c r="B100" t="s">
        <v>40</v>
      </c>
      <c r="C100" s="5" t="str">
        <f t="shared" si="1"/>
        <v>RV0033</v>
      </c>
      <c r="D100" t="str">
        <f t="shared" si="2"/>
        <v>PropCowling Foil L</v>
      </c>
      <c r="E100" t="s">
        <v>288</v>
      </c>
      <c r="F100" s="1"/>
      <c r="G100" s="11">
        <v>1.1111111111111112E-2</v>
      </c>
      <c r="H100" s="6" t="str">
        <f t="shared" si="3"/>
        <v>RV</v>
      </c>
      <c r="I100" t="s">
        <v>42</v>
      </c>
    </row>
    <row r="101" spans="1:9" x14ac:dyDescent="0.25">
      <c r="A101" t="s">
        <v>51</v>
      </c>
      <c r="B101" t="s">
        <v>40</v>
      </c>
      <c r="C101" s="5" t="str">
        <f t="shared" si="1"/>
        <v>RV0034</v>
      </c>
      <c r="D101" t="str">
        <f t="shared" si="2"/>
        <v>PropCowling Foil R</v>
      </c>
      <c r="E101" t="s">
        <v>288</v>
      </c>
      <c r="F101" s="1"/>
      <c r="G101" s="11">
        <v>1.1111111111111112E-2</v>
      </c>
      <c r="H101" s="6" t="str">
        <f t="shared" si="3"/>
        <v>RV</v>
      </c>
      <c r="I101" t="s">
        <v>42</v>
      </c>
    </row>
    <row r="102" spans="1:9" x14ac:dyDescent="0.25">
      <c r="A102" t="s">
        <v>52</v>
      </c>
      <c r="B102" t="s">
        <v>40</v>
      </c>
      <c r="C102" s="5" t="str">
        <f t="shared" si="1"/>
        <v>RV0035</v>
      </c>
      <c r="D102" t="str">
        <f t="shared" si="2"/>
        <v>PropCowling Foil Top</v>
      </c>
      <c r="E102" t="s">
        <v>288</v>
      </c>
      <c r="F102" s="1"/>
      <c r="G102" s="11">
        <v>1.1805555555555555E-2</v>
      </c>
      <c r="H102" s="6" t="str">
        <f t="shared" si="3"/>
        <v>RV</v>
      </c>
      <c r="I102" t="s">
        <v>42</v>
      </c>
    </row>
    <row r="103" spans="1:9" x14ac:dyDescent="0.25">
      <c r="A103" t="s">
        <v>53</v>
      </c>
      <c r="B103" t="s">
        <v>40</v>
      </c>
      <c r="C103" s="5" t="str">
        <f t="shared" si="1"/>
        <v>RV0036</v>
      </c>
      <c r="D103" t="str">
        <f t="shared" si="2"/>
        <v>PropCowling Foil Bot</v>
      </c>
      <c r="E103" t="s">
        <v>288</v>
      </c>
      <c r="F103" s="1"/>
      <c r="G103" s="11">
        <v>1.2500000000000001E-2</v>
      </c>
      <c r="H103" s="6" t="str">
        <f t="shared" si="3"/>
        <v>RV</v>
      </c>
      <c r="I103" t="s">
        <v>42</v>
      </c>
    </row>
    <row r="104" spans="1:9" x14ac:dyDescent="0.25">
      <c r="A104" t="s">
        <v>124</v>
      </c>
      <c r="B104" t="s">
        <v>40</v>
      </c>
      <c r="C104" s="5" t="str">
        <f t="shared" si="1"/>
        <v>RV0100</v>
      </c>
      <c r="D104" t="str">
        <f t="shared" si="2"/>
        <v>Right Turning Vane Block Assembly</v>
      </c>
      <c r="E104" t="s">
        <v>288</v>
      </c>
      <c r="F104" s="1"/>
      <c r="G104" s="11"/>
      <c r="H104" s="6" t="str">
        <f t="shared" si="3"/>
        <v>RV</v>
      </c>
      <c r="I104" t="s">
        <v>43</v>
      </c>
    </row>
    <row r="105" spans="1:9" x14ac:dyDescent="0.25">
      <c r="A105" t="s">
        <v>125</v>
      </c>
      <c r="B105" t="s">
        <v>40</v>
      </c>
      <c r="C105" s="5" t="str">
        <f t="shared" si="1"/>
        <v>RV0101</v>
      </c>
      <c r="D105" t="str">
        <f t="shared" si="2"/>
        <v>Right Turning Vane Complete Assembly</v>
      </c>
      <c r="E105" t="s">
        <v>288</v>
      </c>
      <c r="F105" s="1"/>
      <c r="G105" s="11"/>
      <c r="H105" s="6" t="str">
        <f t="shared" si="3"/>
        <v>RV</v>
      </c>
      <c r="I105" t="s">
        <v>43</v>
      </c>
    </row>
    <row r="106" spans="1:9" x14ac:dyDescent="0.25">
      <c r="A106" t="s">
        <v>126</v>
      </c>
      <c r="B106" t="s">
        <v>40</v>
      </c>
      <c r="C106" s="5" t="str">
        <f t="shared" si="1"/>
        <v>SE0001</v>
      </c>
      <c r="D106" t="str">
        <f t="shared" si="2"/>
        <v>Sensing Baseplate</v>
      </c>
      <c r="E106" t="s">
        <v>288</v>
      </c>
      <c r="F106" s="1"/>
      <c r="G106" s="11"/>
      <c r="H106" s="6" t="str">
        <f t="shared" si="3"/>
        <v>SE</v>
      </c>
      <c r="I106" t="s">
        <v>267</v>
      </c>
    </row>
    <row r="107" spans="1:9" x14ac:dyDescent="0.25">
      <c r="A107" t="s">
        <v>127</v>
      </c>
      <c r="B107" t="s">
        <v>40</v>
      </c>
      <c r="C107" s="5" t="str">
        <f t="shared" si="1"/>
        <v>SE0002</v>
      </c>
      <c r="D107" t="str">
        <f t="shared" si="2"/>
        <v>Sensing Frame</v>
      </c>
      <c r="E107" t="s">
        <v>288</v>
      </c>
      <c r="F107" s="1"/>
      <c r="G107" s="11"/>
      <c r="H107" s="6" t="str">
        <f t="shared" si="3"/>
        <v>SE</v>
      </c>
      <c r="I107" t="s">
        <v>267</v>
      </c>
    </row>
    <row r="108" spans="1:9" x14ac:dyDescent="0.25">
      <c r="A108" t="s">
        <v>128</v>
      </c>
      <c r="B108" t="s">
        <v>40</v>
      </c>
      <c r="C108" s="5" t="str">
        <f t="shared" si="1"/>
        <v>SE0003</v>
      </c>
      <c r="D108" t="str">
        <f t="shared" si="2"/>
        <v>Sensing Adapter Plate</v>
      </c>
      <c r="E108" t="s">
        <v>288</v>
      </c>
      <c r="F108" s="1"/>
      <c r="G108" s="11"/>
      <c r="H108" s="6" t="str">
        <f t="shared" si="3"/>
        <v>SE</v>
      </c>
      <c r="I108" t="s">
        <v>267</v>
      </c>
    </row>
    <row r="109" spans="1:9" x14ac:dyDescent="0.25">
      <c r="A109" t="s">
        <v>129</v>
      </c>
      <c r="B109" t="s">
        <v>40</v>
      </c>
      <c r="C109" s="5" t="str">
        <f t="shared" si="1"/>
        <v>SE0004</v>
      </c>
      <c r="D109" t="str">
        <f t="shared" si="2"/>
        <v>Bearing Holder fwd</v>
      </c>
      <c r="E109" t="s">
        <v>288</v>
      </c>
      <c r="F109" s="1"/>
      <c r="G109" s="11"/>
      <c r="H109" s="6" t="str">
        <f t="shared" si="3"/>
        <v>SE</v>
      </c>
      <c r="I109" t="s">
        <v>267</v>
      </c>
    </row>
    <row r="110" spans="1:9" x14ac:dyDescent="0.25">
      <c r="A110" t="s">
        <v>130</v>
      </c>
      <c r="B110" t="s">
        <v>40</v>
      </c>
      <c r="C110" s="5" t="str">
        <f t="shared" si="1"/>
        <v>SE0006</v>
      </c>
      <c r="D110" t="str">
        <f t="shared" si="2"/>
        <v>Sensing Cylinder</v>
      </c>
      <c r="E110" t="s">
        <v>288</v>
      </c>
      <c r="F110" s="1"/>
      <c r="G110" s="11">
        <v>3.888888888888889E-2</v>
      </c>
      <c r="H110" s="6" t="str">
        <f t="shared" si="3"/>
        <v>SE</v>
      </c>
      <c r="I110" t="s">
        <v>42</v>
      </c>
    </row>
    <row r="111" spans="1:9" x14ac:dyDescent="0.25">
      <c r="A111" t="s">
        <v>131</v>
      </c>
      <c r="B111" t="s">
        <v>40</v>
      </c>
      <c r="C111" s="5" t="str">
        <f t="shared" si="1"/>
        <v>SE0007</v>
      </c>
      <c r="D111" t="str">
        <f t="shared" si="2"/>
        <v>Torque Sensor Tub TD70</v>
      </c>
      <c r="E111" t="s">
        <v>288</v>
      </c>
      <c r="F111" s="1"/>
      <c r="G111" s="11"/>
      <c r="H111" s="6" t="str">
        <f t="shared" si="3"/>
        <v>SE</v>
      </c>
      <c r="I111" t="s">
        <v>267</v>
      </c>
    </row>
    <row r="112" spans="1:9" x14ac:dyDescent="0.25">
      <c r="A112" t="s">
        <v>132</v>
      </c>
      <c r="B112" t="s">
        <v>40</v>
      </c>
      <c r="C112" s="5" t="str">
        <f t="shared" si="1"/>
        <v>SE0008</v>
      </c>
      <c r="D112" t="str">
        <f t="shared" si="2"/>
        <v>Torque Sensor Holder TD70</v>
      </c>
      <c r="E112" t="s">
        <v>288</v>
      </c>
      <c r="F112" s="1"/>
      <c r="G112" s="11"/>
      <c r="H112" s="6" t="str">
        <f t="shared" si="3"/>
        <v>SE</v>
      </c>
      <c r="I112" t="s">
        <v>267</v>
      </c>
    </row>
    <row r="113" spans="1:9" x14ac:dyDescent="0.25">
      <c r="A113" t="s">
        <v>133</v>
      </c>
      <c r="B113" t="s">
        <v>40</v>
      </c>
      <c r="C113" s="5" t="str">
        <f t="shared" si="1"/>
        <v>SE0009</v>
      </c>
      <c r="D113" t="str">
        <f t="shared" si="2"/>
        <v>Torque Sensor Axle TD70</v>
      </c>
      <c r="E113" t="s">
        <v>288</v>
      </c>
      <c r="F113" s="1"/>
      <c r="G113" s="11"/>
      <c r="H113" s="6" t="str">
        <f t="shared" si="3"/>
        <v>SE</v>
      </c>
      <c r="I113" t="s">
        <v>267</v>
      </c>
    </row>
    <row r="114" spans="1:9" x14ac:dyDescent="0.25">
      <c r="A114" t="s">
        <v>134</v>
      </c>
      <c r="B114" t="s">
        <v>40</v>
      </c>
      <c r="C114" s="5" t="str">
        <f t="shared" si="1"/>
        <v>SE0010</v>
      </c>
      <c r="D114" t="str">
        <f t="shared" si="2"/>
        <v>Torque Sensor TD70 Assembly</v>
      </c>
      <c r="E114" t="s">
        <v>288</v>
      </c>
      <c r="F114" s="1"/>
      <c r="G114" s="11"/>
      <c r="H114" s="6" t="str">
        <f t="shared" si="3"/>
        <v>SE</v>
      </c>
      <c r="I114" t="s">
        <v>43</v>
      </c>
    </row>
    <row r="115" spans="1:9" x14ac:dyDescent="0.25">
      <c r="A115" t="s">
        <v>135</v>
      </c>
      <c r="B115" t="s">
        <v>40</v>
      </c>
      <c r="C115" s="5" t="str">
        <f t="shared" si="1"/>
        <v>SE0011</v>
      </c>
      <c r="D115" t="str">
        <f t="shared" si="2"/>
        <v>Torque Sensor Tub TD50</v>
      </c>
      <c r="E115" t="s">
        <v>288</v>
      </c>
      <c r="F115" s="1"/>
      <c r="G115" s="11"/>
      <c r="H115" s="6" t="str">
        <f t="shared" si="3"/>
        <v>SE</v>
      </c>
      <c r="I115" t="s">
        <v>267</v>
      </c>
    </row>
    <row r="116" spans="1:9" x14ac:dyDescent="0.25">
      <c r="A116" t="s">
        <v>136</v>
      </c>
      <c r="B116" t="s">
        <v>40</v>
      </c>
      <c r="C116" s="5" t="str">
        <f t="shared" si="1"/>
        <v>SE0012</v>
      </c>
      <c r="D116" t="str">
        <f t="shared" si="2"/>
        <v>Torque Sensor Holder TD50</v>
      </c>
      <c r="E116" t="s">
        <v>288</v>
      </c>
      <c r="F116" s="1"/>
      <c r="G116" s="11"/>
      <c r="H116" s="6" t="str">
        <f t="shared" si="3"/>
        <v>SE</v>
      </c>
      <c r="I116" t="s">
        <v>267</v>
      </c>
    </row>
    <row r="117" spans="1:9" x14ac:dyDescent="0.25">
      <c r="A117" t="s">
        <v>137</v>
      </c>
      <c r="B117" t="s">
        <v>40</v>
      </c>
      <c r="C117" s="5" t="str">
        <f t="shared" si="1"/>
        <v>SE0013</v>
      </c>
      <c r="D117" t="str">
        <f t="shared" si="2"/>
        <v>Torque Sensor Axle TD50</v>
      </c>
      <c r="E117" t="s">
        <v>288</v>
      </c>
      <c r="F117" s="1"/>
      <c r="G117" s="11"/>
      <c r="H117" s="6" t="str">
        <f t="shared" si="3"/>
        <v>SE</v>
      </c>
      <c r="I117" t="s">
        <v>267</v>
      </c>
    </row>
    <row r="118" spans="1:9" x14ac:dyDescent="0.25">
      <c r="A118" t="s">
        <v>138</v>
      </c>
      <c r="B118" t="s">
        <v>40</v>
      </c>
      <c r="C118" s="5" t="str">
        <f t="shared" si="1"/>
        <v>SE0014</v>
      </c>
      <c r="D118" t="str">
        <f t="shared" si="2"/>
        <v>Torque Sensor TD50 Assembly</v>
      </c>
      <c r="E118" t="s">
        <v>288</v>
      </c>
      <c r="F118" s="1"/>
      <c r="G118" s="11"/>
      <c r="H118" s="6" t="str">
        <f t="shared" si="3"/>
        <v>SE</v>
      </c>
      <c r="I118" t="s">
        <v>43</v>
      </c>
    </row>
    <row r="119" spans="1:9" x14ac:dyDescent="0.25">
      <c r="A119" t="s">
        <v>139</v>
      </c>
      <c r="B119" t="s">
        <v>40</v>
      </c>
      <c r="C119" s="5" t="str">
        <f t="shared" si="1"/>
        <v>SE0100</v>
      </c>
      <c r="D119" t="str">
        <f t="shared" si="2"/>
        <v>Sensing Assembly</v>
      </c>
      <c r="E119" t="s">
        <v>288</v>
      </c>
      <c r="F119" s="1"/>
      <c r="G119" s="11"/>
      <c r="H119" s="6" t="str">
        <f t="shared" si="3"/>
        <v>SE</v>
      </c>
      <c r="I119" t="s">
        <v>43</v>
      </c>
    </row>
    <row r="120" spans="1:9" x14ac:dyDescent="0.25">
      <c r="A120" t="s">
        <v>140</v>
      </c>
      <c r="B120" t="s">
        <v>40</v>
      </c>
      <c r="C120" s="5" t="str">
        <f t="shared" si="1"/>
        <v>SP0004</v>
      </c>
      <c r="D120" t="str">
        <f t="shared" si="2"/>
        <v>item panelClip</v>
      </c>
      <c r="E120" t="s">
        <v>288</v>
      </c>
      <c r="F120" s="1"/>
      <c r="G120" s="11">
        <v>3.472222222222222E-3</v>
      </c>
      <c r="H120" s="6" t="str">
        <f t="shared" si="3"/>
        <v>SP</v>
      </c>
      <c r="I120" t="s">
        <v>42</v>
      </c>
    </row>
    <row r="121" spans="1:9" x14ac:dyDescent="0.25">
      <c r="A121" t="s">
        <v>141</v>
      </c>
      <c r="B121" t="s">
        <v>40</v>
      </c>
      <c r="C121" s="5" t="str">
        <f t="shared" si="1"/>
        <v>SP0008</v>
      </c>
      <c r="D121" t="str">
        <f t="shared" si="2"/>
        <v>CamSupport short</v>
      </c>
      <c r="E121" t="s">
        <v>288</v>
      </c>
      <c r="F121" s="1"/>
      <c r="G121" s="11">
        <v>1.1111111111111112E-2</v>
      </c>
      <c r="H121" s="6" t="str">
        <f t="shared" ref="H121:H156" si="4">MID(A121, FIND("-", A121) + 1, 2)</f>
        <v>SP</v>
      </c>
      <c r="I121" t="s">
        <v>42</v>
      </c>
    </row>
    <row r="122" spans="1:9" x14ac:dyDescent="0.25">
      <c r="A122" t="s">
        <v>85</v>
      </c>
      <c r="B122" t="s">
        <v>40</v>
      </c>
      <c r="C122" s="5" t="str">
        <f t="shared" si="1"/>
        <v>SP0010</v>
      </c>
      <c r="D122" t="str">
        <f t="shared" si="2"/>
        <v>CornerClip Male</v>
      </c>
      <c r="E122" t="s">
        <v>288</v>
      </c>
      <c r="F122" s="1"/>
      <c r="G122" s="11">
        <v>1.8749999999999999E-2</v>
      </c>
      <c r="H122" s="6" t="str">
        <f t="shared" si="4"/>
        <v>SP</v>
      </c>
      <c r="I122" t="s">
        <v>42</v>
      </c>
    </row>
    <row r="123" spans="1:9" x14ac:dyDescent="0.25">
      <c r="A123" t="s">
        <v>86</v>
      </c>
      <c r="B123" t="s">
        <v>40</v>
      </c>
      <c r="C123" s="5" t="str">
        <f t="shared" ref="C123:C158" si="5">MID(A123,5,6)</f>
        <v>SP0011</v>
      </c>
      <c r="D123" t="str">
        <f t="shared" ref="D123:D158" si="6">RIGHT(A123,LEN(A123)-FIND("_",A123))</f>
        <v>CornerClip Female</v>
      </c>
      <c r="E123" t="s">
        <v>288</v>
      </c>
      <c r="F123" s="1"/>
      <c r="G123" s="11">
        <v>1.5972222222222221E-2</v>
      </c>
      <c r="H123" s="6" t="str">
        <f t="shared" si="4"/>
        <v>SP</v>
      </c>
      <c r="I123" t="s">
        <v>42</v>
      </c>
    </row>
    <row r="124" spans="1:9" x14ac:dyDescent="0.25">
      <c r="A124" t="s">
        <v>87</v>
      </c>
      <c r="B124" t="s">
        <v>40</v>
      </c>
      <c r="C124" s="5" t="str">
        <f t="shared" si="5"/>
        <v>SP0012</v>
      </c>
      <c r="D124" t="str">
        <f t="shared" si="6"/>
        <v>item PlatformClip Rail Adapter</v>
      </c>
      <c r="E124" t="s">
        <v>288</v>
      </c>
      <c r="F124" s="1"/>
      <c r="G124" s="11">
        <v>1.1805555555555555E-2</v>
      </c>
      <c r="H124" s="6" t="str">
        <f t="shared" si="4"/>
        <v>SP</v>
      </c>
      <c r="I124" t="s">
        <v>42</v>
      </c>
    </row>
    <row r="125" spans="1:9" x14ac:dyDescent="0.25">
      <c r="A125" t="s">
        <v>142</v>
      </c>
      <c r="B125" t="s">
        <v>40</v>
      </c>
      <c r="C125" s="5" t="str">
        <f t="shared" si="5"/>
        <v>SP0013</v>
      </c>
      <c r="D125" t="str">
        <f t="shared" si="6"/>
        <v>item PlatformClip Platform Adapter</v>
      </c>
      <c r="E125" t="s">
        <v>288</v>
      </c>
      <c r="F125" s="1"/>
      <c r="G125" s="11">
        <v>1.8749999999999999E-2</v>
      </c>
      <c r="H125" s="6" t="str">
        <f t="shared" si="4"/>
        <v>SP</v>
      </c>
      <c r="I125" t="s">
        <v>42</v>
      </c>
    </row>
    <row r="126" spans="1:9" x14ac:dyDescent="0.25">
      <c r="A126" t="s">
        <v>143</v>
      </c>
      <c r="B126" t="s">
        <v>40</v>
      </c>
      <c r="C126" s="5" t="str">
        <f t="shared" si="5"/>
        <v>SP0014</v>
      </c>
      <c r="D126" t="str">
        <f t="shared" si="6"/>
        <v>item PlatformClip Platform Adapter Mirrored</v>
      </c>
      <c r="E126" t="s">
        <v>288</v>
      </c>
      <c r="F126" s="1"/>
      <c r="G126" s="11">
        <v>1.8749999999999999E-2</v>
      </c>
      <c r="H126" s="6" t="str">
        <f t="shared" si="4"/>
        <v>SP</v>
      </c>
      <c r="I126" t="s">
        <v>42</v>
      </c>
    </row>
    <row r="127" spans="1:9" x14ac:dyDescent="0.25">
      <c r="A127" t="s">
        <v>144</v>
      </c>
      <c r="B127" t="s">
        <v>40</v>
      </c>
      <c r="C127" s="5" t="str">
        <f t="shared" si="5"/>
        <v>SP0015</v>
      </c>
      <c r="D127" t="str">
        <f t="shared" si="6"/>
        <v>item ColumnClip</v>
      </c>
      <c r="E127" t="s">
        <v>288</v>
      </c>
      <c r="F127" s="1"/>
      <c r="G127" s="11">
        <v>2.5000000000000001E-2</v>
      </c>
      <c r="H127" s="6" t="str">
        <f t="shared" si="4"/>
        <v>SP</v>
      </c>
      <c r="I127" t="s">
        <v>42</v>
      </c>
    </row>
    <row r="128" spans="1:9" x14ac:dyDescent="0.25">
      <c r="A128" t="s">
        <v>145</v>
      </c>
      <c r="B128" t="s">
        <v>40</v>
      </c>
      <c r="C128" s="5" t="str">
        <f t="shared" si="5"/>
        <v>ST0003</v>
      </c>
      <c r="D128" t="str">
        <f t="shared" si="6"/>
        <v>LTV Assembly Ruler</v>
      </c>
      <c r="E128" t="s">
        <v>288</v>
      </c>
      <c r="F128" s="1"/>
      <c r="G128" s="11">
        <v>7.6388888888888886E-3</v>
      </c>
      <c r="H128" s="6" t="str">
        <f t="shared" si="4"/>
        <v>ST</v>
      </c>
      <c r="I128" t="s">
        <v>42</v>
      </c>
    </row>
    <row r="129" spans="1:9" x14ac:dyDescent="0.25">
      <c r="A129" t="s">
        <v>146</v>
      </c>
      <c r="B129" t="s">
        <v>40</v>
      </c>
      <c r="C129" s="5" t="str">
        <f t="shared" si="5"/>
        <v>ST0004</v>
      </c>
      <c r="D129" t="str">
        <f t="shared" si="6"/>
        <v>RTV Assembly Ruler</v>
      </c>
      <c r="E129" t="s">
        <v>288</v>
      </c>
      <c r="F129" s="1"/>
      <c r="G129" s="11">
        <v>1.1805555555555555E-2</v>
      </c>
      <c r="H129" s="6" t="str">
        <f t="shared" si="4"/>
        <v>ST</v>
      </c>
      <c r="I129" t="s">
        <v>42</v>
      </c>
    </row>
    <row r="130" spans="1:9" x14ac:dyDescent="0.25">
      <c r="A130" t="s">
        <v>147</v>
      </c>
      <c r="B130" t="s">
        <v>40</v>
      </c>
      <c r="C130" s="5" t="str">
        <f t="shared" si="5"/>
        <v>TS0100</v>
      </c>
      <c r="D130" t="str">
        <f t="shared" si="6"/>
        <v>Test Section Assembly</v>
      </c>
      <c r="E130" t="s">
        <v>288</v>
      </c>
      <c r="F130" s="1"/>
      <c r="G130" s="11"/>
      <c r="H130" s="6" t="str">
        <f t="shared" si="4"/>
        <v>TS</v>
      </c>
      <c r="I130" t="s">
        <v>43</v>
      </c>
    </row>
    <row r="131" spans="1:9" x14ac:dyDescent="0.25">
      <c r="A131" t="s">
        <v>148</v>
      </c>
      <c r="B131" t="s">
        <v>40</v>
      </c>
      <c r="C131" s="5" t="str">
        <f t="shared" si="5"/>
        <v>TS0101</v>
      </c>
      <c r="D131" t="str">
        <f t="shared" si="6"/>
        <v>Plexiglass Floor front</v>
      </c>
      <c r="E131" t="s">
        <v>288</v>
      </c>
      <c r="F131" s="1"/>
      <c r="G131" s="11"/>
      <c r="H131" s="6" t="str">
        <f t="shared" si="4"/>
        <v>TS</v>
      </c>
      <c r="I131" t="s">
        <v>263</v>
      </c>
    </row>
    <row r="132" spans="1:9" x14ac:dyDescent="0.25">
      <c r="A132" t="s">
        <v>149</v>
      </c>
      <c r="B132" t="s">
        <v>40</v>
      </c>
      <c r="C132" s="5" t="str">
        <f t="shared" si="5"/>
        <v>TS0102</v>
      </c>
      <c r="D132" t="str">
        <f t="shared" si="6"/>
        <v>Plexiglass Floor back</v>
      </c>
      <c r="E132" t="s">
        <v>288</v>
      </c>
      <c r="F132" s="1"/>
      <c r="G132" s="11"/>
      <c r="H132" s="6" t="str">
        <f t="shared" si="4"/>
        <v>TS</v>
      </c>
      <c r="I132" t="s">
        <v>263</v>
      </c>
    </row>
    <row r="133" spans="1:9" x14ac:dyDescent="0.25">
      <c r="A133" t="s">
        <v>37</v>
      </c>
      <c r="B133" t="s">
        <v>40</v>
      </c>
      <c r="C133" s="5" t="str">
        <f t="shared" si="5"/>
        <v>TS0103</v>
      </c>
      <c r="D133" t="str">
        <f t="shared" si="6"/>
        <v>Nozzle Wall Front</v>
      </c>
      <c r="E133" t="s">
        <v>288</v>
      </c>
      <c r="F133" s="1"/>
      <c r="G133" s="11"/>
      <c r="H133" s="6" t="str">
        <f t="shared" si="4"/>
        <v>TS</v>
      </c>
      <c r="I133" t="s">
        <v>263</v>
      </c>
    </row>
    <row r="134" spans="1:9" x14ac:dyDescent="0.25">
      <c r="A134" t="s">
        <v>38</v>
      </c>
      <c r="B134" t="s">
        <v>40</v>
      </c>
      <c r="C134" s="5" t="str">
        <f t="shared" si="5"/>
        <v>TS0104</v>
      </c>
      <c r="D134" t="str">
        <f t="shared" si="6"/>
        <v>Nozzle Wall Rear</v>
      </c>
      <c r="E134" t="s">
        <v>288</v>
      </c>
      <c r="F134" s="1"/>
      <c r="G134" s="11"/>
      <c r="H134" s="6" t="str">
        <f t="shared" si="4"/>
        <v>TS</v>
      </c>
      <c r="I134" t="s">
        <v>263</v>
      </c>
    </row>
    <row r="135" spans="1:9" x14ac:dyDescent="0.25">
      <c r="A135" t="s">
        <v>39</v>
      </c>
      <c r="B135" t="s">
        <v>40</v>
      </c>
      <c r="C135" s="5" t="str">
        <f t="shared" si="5"/>
        <v>TS0105</v>
      </c>
      <c r="D135" t="str">
        <f t="shared" si="6"/>
        <v>Nozzle Floor</v>
      </c>
      <c r="E135" t="s">
        <v>288</v>
      </c>
      <c r="F135" s="1"/>
      <c r="G135" s="11"/>
      <c r="H135" s="6" t="str">
        <f t="shared" si="4"/>
        <v>TS</v>
      </c>
      <c r="I135" t="s">
        <v>263</v>
      </c>
    </row>
    <row r="136" spans="1:9" x14ac:dyDescent="0.25">
      <c r="A136" t="s">
        <v>150</v>
      </c>
      <c r="B136" t="s">
        <v>40</v>
      </c>
      <c r="C136" s="5" t="str">
        <f t="shared" si="5"/>
        <v>TS0106</v>
      </c>
      <c r="D136" t="str">
        <f t="shared" si="6"/>
        <v>TS Holder Front</v>
      </c>
      <c r="E136" t="s">
        <v>288</v>
      </c>
      <c r="F136" s="1"/>
      <c r="G136" s="11">
        <v>4.791666666666667E-2</v>
      </c>
      <c r="H136" s="6" t="str">
        <f t="shared" si="4"/>
        <v>TS</v>
      </c>
      <c r="I136" t="s">
        <v>42</v>
      </c>
    </row>
    <row r="137" spans="1:9" x14ac:dyDescent="0.25">
      <c r="A137" t="s">
        <v>151</v>
      </c>
      <c r="B137" t="s">
        <v>40</v>
      </c>
      <c r="C137" s="5" t="str">
        <f t="shared" si="5"/>
        <v>TS0108</v>
      </c>
      <c r="D137" t="str">
        <f t="shared" si="6"/>
        <v>Diffuser Wall Front</v>
      </c>
      <c r="E137" t="s">
        <v>288</v>
      </c>
      <c r="F137" s="1"/>
      <c r="G137" s="11">
        <v>5.486111111111111E-2</v>
      </c>
      <c r="H137" s="6" t="str">
        <f t="shared" si="4"/>
        <v>TS</v>
      </c>
      <c r="I137" t="s">
        <v>42</v>
      </c>
    </row>
    <row r="138" spans="1:9" x14ac:dyDescent="0.25">
      <c r="A138" t="s">
        <v>152</v>
      </c>
      <c r="B138" t="s">
        <v>40</v>
      </c>
      <c r="C138" s="5" t="str">
        <f t="shared" si="5"/>
        <v>TS0109</v>
      </c>
      <c r="D138" t="str">
        <f t="shared" si="6"/>
        <v>Diffuser Wall Rear</v>
      </c>
      <c r="E138" t="s">
        <v>288</v>
      </c>
      <c r="F138" s="1"/>
      <c r="G138" s="11">
        <v>5.486111111111111E-2</v>
      </c>
      <c r="H138" s="6" t="str">
        <f t="shared" si="4"/>
        <v>TS</v>
      </c>
      <c r="I138" t="s">
        <v>42</v>
      </c>
    </row>
    <row r="139" spans="1:9" x14ac:dyDescent="0.25">
      <c r="A139" t="s">
        <v>153</v>
      </c>
      <c r="B139" t="s">
        <v>40</v>
      </c>
      <c r="C139" s="5" t="str">
        <f t="shared" si="5"/>
        <v>TS0110</v>
      </c>
      <c r="D139" t="str">
        <f t="shared" si="6"/>
        <v>Honeycomb</v>
      </c>
      <c r="E139" t="s">
        <v>288</v>
      </c>
      <c r="F139" s="1"/>
      <c r="G139" s="11">
        <v>0.3</v>
      </c>
      <c r="H139" s="6" t="str">
        <f t="shared" si="4"/>
        <v>TS</v>
      </c>
      <c r="I139" t="s">
        <v>42</v>
      </c>
    </row>
    <row r="140" spans="1:9" x14ac:dyDescent="0.25">
      <c r="A140" t="s">
        <v>154</v>
      </c>
      <c r="B140" t="s">
        <v>40</v>
      </c>
      <c r="C140" s="5" t="str">
        <f t="shared" si="5"/>
        <v>TS0112</v>
      </c>
      <c r="D140" t="str">
        <f t="shared" si="6"/>
        <v>Nozzle Wall Clip Front</v>
      </c>
      <c r="E140" t="s">
        <v>288</v>
      </c>
      <c r="F140" s="1"/>
      <c r="G140" s="11">
        <v>1.1111111111111112E-2</v>
      </c>
      <c r="H140" s="6" t="str">
        <f t="shared" si="4"/>
        <v>TS</v>
      </c>
      <c r="I140" t="s">
        <v>42</v>
      </c>
    </row>
    <row r="141" spans="1:9" x14ac:dyDescent="0.25">
      <c r="A141" t="s">
        <v>155</v>
      </c>
      <c r="B141" t="s">
        <v>40</v>
      </c>
      <c r="C141" s="5" t="str">
        <f t="shared" si="5"/>
        <v>TS0113</v>
      </c>
      <c r="D141" t="str">
        <f t="shared" si="6"/>
        <v>Nozzle Wall Clip Rear</v>
      </c>
      <c r="E141" t="s">
        <v>288</v>
      </c>
      <c r="F141" s="1"/>
      <c r="G141" s="11">
        <v>1.1111111111111112E-2</v>
      </c>
      <c r="H141" s="6" t="str">
        <f t="shared" si="4"/>
        <v>TS</v>
      </c>
      <c r="I141" t="s">
        <v>42</v>
      </c>
    </row>
    <row r="142" spans="1:9" x14ac:dyDescent="0.25">
      <c r="A142" t="s">
        <v>156</v>
      </c>
      <c r="B142" t="s">
        <v>40</v>
      </c>
      <c r="C142" s="5" t="str">
        <f t="shared" si="5"/>
        <v>TS0114</v>
      </c>
      <c r="D142" t="str">
        <f t="shared" si="6"/>
        <v>Diffuser Floor Front</v>
      </c>
      <c r="E142" t="s">
        <v>288</v>
      </c>
      <c r="F142" s="1"/>
      <c r="G142" s="11">
        <v>5.7638888888888892E-2</v>
      </c>
      <c r="H142" s="6" t="str">
        <f t="shared" si="4"/>
        <v>TS</v>
      </c>
      <c r="I142" t="s">
        <v>42</v>
      </c>
    </row>
    <row r="143" spans="1:9" x14ac:dyDescent="0.25">
      <c r="A143" t="s">
        <v>157</v>
      </c>
      <c r="B143" t="s">
        <v>40</v>
      </c>
      <c r="C143" s="5" t="str">
        <f t="shared" si="5"/>
        <v>TS0115</v>
      </c>
      <c r="D143" t="str">
        <f t="shared" si="6"/>
        <v>Diffuser Floor Rear</v>
      </c>
      <c r="E143" t="s">
        <v>288</v>
      </c>
      <c r="F143" s="1"/>
      <c r="G143" s="11">
        <v>5.7638888888888892E-2</v>
      </c>
      <c r="H143" s="6" t="str">
        <f t="shared" si="4"/>
        <v>TS</v>
      </c>
      <c r="I143" t="s">
        <v>42</v>
      </c>
    </row>
    <row r="144" spans="1:9" x14ac:dyDescent="0.25">
      <c r="A144" t="s">
        <v>158</v>
      </c>
      <c r="B144" t="s">
        <v>40</v>
      </c>
      <c r="C144" s="5" t="str">
        <f t="shared" si="5"/>
        <v>TS0116</v>
      </c>
      <c r="D144" t="str">
        <f t="shared" si="6"/>
        <v>Test Section Support Structure</v>
      </c>
      <c r="E144" t="s">
        <v>288</v>
      </c>
      <c r="F144" s="1"/>
      <c r="G144" s="11"/>
      <c r="H144" s="6" t="str">
        <f t="shared" si="4"/>
        <v>TS</v>
      </c>
      <c r="I144" t="s">
        <v>43</v>
      </c>
    </row>
    <row r="145" spans="1:9" x14ac:dyDescent="0.25">
      <c r="A145" t="s">
        <v>159</v>
      </c>
      <c r="B145" t="s">
        <v>40</v>
      </c>
      <c r="C145" s="5" t="str">
        <f t="shared" si="5"/>
        <v>TS0117</v>
      </c>
      <c r="D145" t="str">
        <f t="shared" si="6"/>
        <v>Honeycombs Assembly</v>
      </c>
      <c r="E145" t="s">
        <v>288</v>
      </c>
      <c r="F145" s="1"/>
      <c r="G145" s="11"/>
      <c r="H145" s="6" t="str">
        <f t="shared" si="4"/>
        <v>TS</v>
      </c>
      <c r="I145" t="s">
        <v>43</v>
      </c>
    </row>
    <row r="146" spans="1:9" x14ac:dyDescent="0.25">
      <c r="A146" t="s">
        <v>160</v>
      </c>
      <c r="B146" t="s">
        <v>40</v>
      </c>
      <c r="C146" s="5" t="str">
        <f t="shared" si="5"/>
        <v>VI0002</v>
      </c>
      <c r="D146" t="str">
        <f t="shared" si="6"/>
        <v>Illumination Assembly</v>
      </c>
      <c r="E146" t="s">
        <v>288</v>
      </c>
      <c r="F146" s="1"/>
      <c r="G146" s="11"/>
      <c r="H146" s="6" t="str">
        <f t="shared" si="4"/>
        <v>VI</v>
      </c>
      <c r="I146" t="s">
        <v>43</v>
      </c>
    </row>
    <row r="147" spans="1:9" x14ac:dyDescent="0.25">
      <c r="A147" t="s">
        <v>161</v>
      </c>
      <c r="B147" t="s">
        <v>40</v>
      </c>
      <c r="C147" s="5" t="str">
        <f t="shared" si="5"/>
        <v>VI0003</v>
      </c>
      <c r="D147" t="str">
        <f t="shared" si="6"/>
        <v>item Notched index 1</v>
      </c>
      <c r="E147" t="s">
        <v>288</v>
      </c>
      <c r="F147" s="1"/>
      <c r="G147" s="11">
        <v>5.1388888888888887E-2</v>
      </c>
      <c r="H147" s="6" t="str">
        <f t="shared" si="4"/>
        <v>VI</v>
      </c>
      <c r="I147" t="s">
        <v>42</v>
      </c>
    </row>
    <row r="148" spans="1:9" x14ac:dyDescent="0.25">
      <c r="A148" t="s">
        <v>162</v>
      </c>
      <c r="B148" t="s">
        <v>40</v>
      </c>
      <c r="C148" s="5" t="str">
        <f t="shared" si="5"/>
        <v>VI0004</v>
      </c>
      <c r="D148" t="str">
        <f t="shared" si="6"/>
        <v>item Notched index 2</v>
      </c>
      <c r="E148" t="s">
        <v>288</v>
      </c>
      <c r="F148" s="1"/>
      <c r="G148" s="11">
        <v>5.1388888888888887E-2</v>
      </c>
      <c r="H148" s="6" t="str">
        <f t="shared" si="4"/>
        <v>VI</v>
      </c>
      <c r="I148" t="s">
        <v>42</v>
      </c>
    </row>
    <row r="149" spans="1:9" x14ac:dyDescent="0.25">
      <c r="A149" t="s">
        <v>163</v>
      </c>
      <c r="B149" t="s">
        <v>40</v>
      </c>
      <c r="C149" s="5" t="str">
        <f t="shared" si="5"/>
        <v>VI0005</v>
      </c>
      <c r="D149" t="str">
        <f t="shared" si="6"/>
        <v>item Notched slider 1</v>
      </c>
      <c r="E149" t="s">
        <v>288</v>
      </c>
      <c r="F149" s="1"/>
      <c r="G149" s="11">
        <v>1.3194444444444444E-2</v>
      </c>
      <c r="H149" s="6" t="str">
        <f t="shared" si="4"/>
        <v>VI</v>
      </c>
      <c r="I149" t="s">
        <v>42</v>
      </c>
    </row>
    <row r="150" spans="1:9" x14ac:dyDescent="0.25">
      <c r="A150" t="s">
        <v>164</v>
      </c>
      <c r="B150" t="s">
        <v>40</v>
      </c>
      <c r="C150" s="5" t="str">
        <f t="shared" si="5"/>
        <v>VI0006</v>
      </c>
      <c r="D150" t="str">
        <f t="shared" si="6"/>
        <v>item Notched slider 2</v>
      </c>
      <c r="E150" t="s">
        <v>288</v>
      </c>
      <c r="F150" s="1"/>
      <c r="G150" s="11">
        <v>1.3194444444444444E-2</v>
      </c>
      <c r="H150" s="6" t="str">
        <f t="shared" si="4"/>
        <v>VI</v>
      </c>
      <c r="I150" t="s">
        <v>42</v>
      </c>
    </row>
    <row r="151" spans="1:9" x14ac:dyDescent="0.25">
      <c r="A151" t="s">
        <v>165</v>
      </c>
      <c r="B151" t="s">
        <v>40</v>
      </c>
      <c r="C151" s="5" t="str">
        <f t="shared" si="5"/>
        <v>VI0007</v>
      </c>
      <c r="D151" t="str">
        <f t="shared" si="6"/>
        <v>LED Strip Holder 1</v>
      </c>
      <c r="E151" t="s">
        <v>288</v>
      </c>
      <c r="F151" s="1"/>
      <c r="G151" s="11">
        <v>4.9305555555555554E-2</v>
      </c>
      <c r="H151" s="6" t="str">
        <f t="shared" si="4"/>
        <v>VI</v>
      </c>
      <c r="I151" t="s">
        <v>42</v>
      </c>
    </row>
    <row r="152" spans="1:9" x14ac:dyDescent="0.25">
      <c r="A152" t="s">
        <v>166</v>
      </c>
      <c r="B152" t="s">
        <v>40</v>
      </c>
      <c r="C152" s="5" t="str">
        <f t="shared" si="5"/>
        <v>VI0008</v>
      </c>
      <c r="D152" t="str">
        <f t="shared" si="6"/>
        <v>LED Strip Holder 2</v>
      </c>
      <c r="E152" t="s">
        <v>288</v>
      </c>
      <c r="F152" s="1"/>
      <c r="G152" s="11">
        <v>4.9305555555555554E-2</v>
      </c>
      <c r="H152" s="6" t="str">
        <f t="shared" si="4"/>
        <v>VI</v>
      </c>
      <c r="I152" t="s">
        <v>42</v>
      </c>
    </row>
    <row r="153" spans="1:9" x14ac:dyDescent="0.25">
      <c r="A153" t="s">
        <v>167</v>
      </c>
      <c r="B153" t="s">
        <v>40</v>
      </c>
      <c r="C153" s="5" t="str">
        <f t="shared" si="5"/>
        <v>VI0009</v>
      </c>
      <c r="D153" t="str">
        <f t="shared" si="6"/>
        <v>LED Strip Plug</v>
      </c>
      <c r="E153" t="s">
        <v>288</v>
      </c>
      <c r="F153" s="1"/>
      <c r="G153" s="11">
        <v>4.1666666666666666E-3</v>
      </c>
      <c r="H153" s="6" t="str">
        <f t="shared" si="4"/>
        <v>VI</v>
      </c>
      <c r="I153" t="s">
        <v>42</v>
      </c>
    </row>
    <row r="154" spans="1:9" x14ac:dyDescent="0.25">
      <c r="A154" t="s">
        <v>168</v>
      </c>
      <c r="B154" t="s">
        <v>40</v>
      </c>
      <c r="C154" s="5" t="str">
        <f t="shared" si="5"/>
        <v>VI0010</v>
      </c>
      <c r="D154" t="str">
        <f t="shared" si="6"/>
        <v>Camera Holder Assembly</v>
      </c>
      <c r="E154" t="s">
        <v>288</v>
      </c>
      <c r="F154" s="1"/>
      <c r="G154" s="11"/>
      <c r="H154" s="6" t="str">
        <f t="shared" si="4"/>
        <v>VI</v>
      </c>
      <c r="I154" t="s">
        <v>43</v>
      </c>
    </row>
    <row r="155" spans="1:9" x14ac:dyDescent="0.25">
      <c r="A155" t="s">
        <v>169</v>
      </c>
      <c r="B155" t="s">
        <v>40</v>
      </c>
      <c r="C155" s="5" t="str">
        <f t="shared" si="5"/>
        <v>VI0011</v>
      </c>
      <c r="D155" t="str">
        <f t="shared" si="6"/>
        <v>Camera Rail Adapter</v>
      </c>
      <c r="E155" t="s">
        <v>288</v>
      </c>
      <c r="F155" s="1"/>
      <c r="G155" s="11">
        <v>1.7361111111111112E-2</v>
      </c>
      <c r="H155" s="6" t="str">
        <f t="shared" si="4"/>
        <v>VI</v>
      </c>
      <c r="I155" t="s">
        <v>42</v>
      </c>
    </row>
    <row r="156" spans="1:9" x14ac:dyDescent="0.25">
      <c r="A156" t="s">
        <v>170</v>
      </c>
      <c r="B156" t="s">
        <v>40</v>
      </c>
      <c r="C156" s="5" t="str">
        <f t="shared" si="5"/>
        <v>VI0012</v>
      </c>
      <c r="D156" t="str">
        <f t="shared" si="6"/>
        <v>Camera Holder</v>
      </c>
      <c r="E156" t="s">
        <v>288</v>
      </c>
      <c r="F156" s="1"/>
      <c r="G156" s="11">
        <v>3.0555555555555555E-2</v>
      </c>
      <c r="H156" s="6" t="str">
        <f t="shared" si="4"/>
        <v>VI</v>
      </c>
      <c r="I156" t="s">
        <v>42</v>
      </c>
    </row>
    <row r="157" spans="1:9" x14ac:dyDescent="0.25">
      <c r="A157" s="12" t="s">
        <v>281</v>
      </c>
      <c r="B157" t="s">
        <v>40</v>
      </c>
      <c r="C157" s="5" t="str">
        <f t="shared" si="5"/>
        <v>EL0016</v>
      </c>
      <c r="D157" t="str">
        <f t="shared" si="6"/>
        <v>BigLED Holder Short</v>
      </c>
      <c r="E157" t="s">
        <v>288</v>
      </c>
      <c r="F157" s="1"/>
      <c r="G157" s="11">
        <v>1.1805555555555555E-2</v>
      </c>
      <c r="H157" s="6" t="s">
        <v>283</v>
      </c>
      <c r="I157" t="s">
        <v>42</v>
      </c>
    </row>
    <row r="158" spans="1:9" x14ac:dyDescent="0.25">
      <c r="A158" s="13" t="s">
        <v>282</v>
      </c>
      <c r="B158" t="s">
        <v>40</v>
      </c>
      <c r="C158" s="5" t="str">
        <f t="shared" si="5"/>
        <v>EL0017</v>
      </c>
      <c r="D158" t="str">
        <f t="shared" si="6"/>
        <v>BigLED Holder Tall</v>
      </c>
      <c r="E158" t="s">
        <v>288</v>
      </c>
      <c r="F158" s="1"/>
      <c r="G158" s="11">
        <v>3.6111111111111108E-2</v>
      </c>
      <c r="H158" s="6" t="s">
        <v>283</v>
      </c>
      <c r="I158" t="s">
        <v>42</v>
      </c>
    </row>
    <row r="159" spans="1:9" x14ac:dyDescent="0.25">
      <c r="A159" t="s">
        <v>339</v>
      </c>
      <c r="B159" t="s">
        <v>40</v>
      </c>
      <c r="C159" s="5" t="str">
        <f t="shared" ref="C159:C163" si="7">MID(A159,5,6)</f>
        <v>EL0021</v>
      </c>
      <c r="D159" t="str">
        <f t="shared" ref="D159:D163" si="8">RIGHT(A159,LEN(A159)-FIND("_",A159))</f>
        <v>Build Plate</v>
      </c>
      <c r="E159" t="s">
        <v>288</v>
      </c>
      <c r="F159" s="1"/>
      <c r="G159" s="11"/>
      <c r="H159" s="6" t="s">
        <v>283</v>
      </c>
    </row>
    <row r="160" spans="1:9" x14ac:dyDescent="0.25">
      <c r="A160" t="s">
        <v>313</v>
      </c>
      <c r="B160" t="s">
        <v>40</v>
      </c>
      <c r="C160" s="5" t="str">
        <f t="shared" si="7"/>
        <v>EL0006</v>
      </c>
      <c r="D160" t="str">
        <f t="shared" si="8"/>
        <v>TorqueAmp Holder</v>
      </c>
      <c r="E160" t="s">
        <v>288</v>
      </c>
      <c r="F160" s="1"/>
      <c r="G160" s="11"/>
      <c r="H160" s="6" t="s">
        <v>283</v>
      </c>
      <c r="I160" t="s">
        <v>42</v>
      </c>
    </row>
    <row r="161" spans="1:9" x14ac:dyDescent="0.25">
      <c r="A161" t="s">
        <v>314</v>
      </c>
      <c r="B161" t="s">
        <v>40</v>
      </c>
      <c r="C161" s="5" t="str">
        <f t="shared" si="7"/>
        <v>EL0018</v>
      </c>
      <c r="D161" t="str">
        <f t="shared" si="8"/>
        <v>Connectors Plate</v>
      </c>
      <c r="E161" t="s">
        <v>288</v>
      </c>
      <c r="F161" s="1"/>
      <c r="G161" s="11"/>
      <c r="H161" s="6" t="s">
        <v>283</v>
      </c>
    </row>
    <row r="162" spans="1:9" x14ac:dyDescent="0.25">
      <c r="A162" t="s">
        <v>315</v>
      </c>
      <c r="B162" t="s">
        <v>40</v>
      </c>
      <c r="C162" s="5" t="str">
        <f t="shared" si="7"/>
        <v>EL0019</v>
      </c>
      <c r="D162" t="str">
        <f t="shared" si="8"/>
        <v>Connector Labels</v>
      </c>
      <c r="E162" t="s">
        <v>288</v>
      </c>
      <c r="F162" s="1"/>
      <c r="G162" s="11">
        <v>4.4444444444444446E-2</v>
      </c>
      <c r="H162" s="6" t="s">
        <v>283</v>
      </c>
      <c r="I162" t="s">
        <v>42</v>
      </c>
    </row>
    <row r="163" spans="1:9" x14ac:dyDescent="0.25">
      <c r="A163" t="s">
        <v>316</v>
      </c>
      <c r="B163" t="s">
        <v>40</v>
      </c>
      <c r="C163" s="5" t="str">
        <f t="shared" si="7"/>
        <v>EL0020</v>
      </c>
      <c r="D163" t="str">
        <f t="shared" si="8"/>
        <v>MOLEX Plate</v>
      </c>
      <c r="E163" t="s">
        <v>288</v>
      </c>
      <c r="F163" s="1"/>
      <c r="G163" s="11">
        <v>4.5138888888888888E-2</v>
      </c>
      <c r="H163" s="6" t="s">
        <v>283</v>
      </c>
      <c r="I163" t="s">
        <v>42</v>
      </c>
    </row>
    <row r="164" spans="1:9" x14ac:dyDescent="0.25">
      <c r="C164" s="5" t="s">
        <v>320</v>
      </c>
      <c r="D164" t="s">
        <v>340</v>
      </c>
      <c r="E164" t="s">
        <v>235</v>
      </c>
      <c r="F164" s="1">
        <v>497</v>
      </c>
      <c r="G164" s="4"/>
      <c r="H164" s="6"/>
    </row>
    <row r="165" spans="1:9" x14ac:dyDescent="0.25">
      <c r="C165" s="5" t="s">
        <v>326</v>
      </c>
      <c r="D165" t="s">
        <v>341</v>
      </c>
      <c r="E165" t="s">
        <v>342</v>
      </c>
      <c r="F165" s="1">
        <v>19.600000000000001</v>
      </c>
      <c r="G165" s="4"/>
      <c r="H165" s="6"/>
    </row>
    <row r="166" spans="1:9" x14ac:dyDescent="0.25">
      <c r="C166" s="5" t="s">
        <v>317</v>
      </c>
      <c r="D166" t="s">
        <v>343</v>
      </c>
      <c r="E166" t="s">
        <v>344</v>
      </c>
      <c r="F166" s="1">
        <v>18.3</v>
      </c>
      <c r="G166" s="4"/>
      <c r="H166" s="6"/>
    </row>
    <row r="167" spans="1:9" x14ac:dyDescent="0.25">
      <c r="C167" s="5">
        <v>4259</v>
      </c>
      <c r="D167" t="s">
        <v>345</v>
      </c>
      <c r="E167" t="s">
        <v>346</v>
      </c>
      <c r="F167" s="1">
        <v>4.6500000000000004</v>
      </c>
      <c r="G167" s="4"/>
      <c r="H167" s="6"/>
    </row>
    <row r="168" spans="1:9" x14ac:dyDescent="0.25">
      <c r="C168" s="5">
        <v>436400300</v>
      </c>
      <c r="D168" t="s">
        <v>347</v>
      </c>
      <c r="E168" t="s">
        <v>65</v>
      </c>
      <c r="F168" s="1">
        <v>0.28999999999999998</v>
      </c>
      <c r="G168" s="4"/>
      <c r="H168" s="6"/>
    </row>
    <row r="169" spans="1:9" x14ac:dyDescent="0.25">
      <c r="C169" s="5">
        <v>436400400</v>
      </c>
      <c r="D169" t="s">
        <v>348</v>
      </c>
      <c r="E169" t="s">
        <v>65</v>
      </c>
      <c r="F169" s="1">
        <v>0.31</v>
      </c>
      <c r="G169" s="4"/>
      <c r="H169" s="6"/>
    </row>
    <row r="170" spans="1:9" x14ac:dyDescent="0.25">
      <c r="C170" s="5">
        <v>39012021</v>
      </c>
      <c r="D170" t="s">
        <v>349</v>
      </c>
      <c r="E170" t="s">
        <v>65</v>
      </c>
      <c r="F170" s="1">
        <v>0.28999999999999998</v>
      </c>
      <c r="G170" s="4"/>
      <c r="H170" s="6"/>
    </row>
    <row r="171" spans="1:9" x14ac:dyDescent="0.25">
      <c r="C171" s="5">
        <v>1201578</v>
      </c>
      <c r="D171" t="s">
        <v>350</v>
      </c>
      <c r="E171" t="s">
        <v>69</v>
      </c>
      <c r="F171" s="1">
        <v>1.05</v>
      </c>
      <c r="G171" s="4"/>
      <c r="H171" s="6"/>
    </row>
    <row r="172" spans="1:9" x14ac:dyDescent="0.25">
      <c r="C172" s="5" t="s">
        <v>323</v>
      </c>
      <c r="D172" t="s">
        <v>351</v>
      </c>
      <c r="E172" t="s">
        <v>352</v>
      </c>
      <c r="F172" s="1">
        <v>89.76</v>
      </c>
      <c r="G172" s="4"/>
      <c r="H172" s="6"/>
    </row>
    <row r="173" spans="1:9" x14ac:dyDescent="0.25">
      <c r="C173" s="5" t="s">
        <v>318</v>
      </c>
      <c r="D173" t="s">
        <v>353</v>
      </c>
      <c r="E173" t="s">
        <v>354</v>
      </c>
      <c r="F173" s="1">
        <v>9.85</v>
      </c>
      <c r="G173" s="4"/>
      <c r="H173" s="6"/>
    </row>
    <row r="174" spans="1:9" x14ac:dyDescent="0.25">
      <c r="C174" s="5" t="s">
        <v>319</v>
      </c>
      <c r="D174" t="s">
        <v>355</v>
      </c>
      <c r="E174" t="s">
        <v>354</v>
      </c>
      <c r="F174" s="1">
        <v>9.85</v>
      </c>
      <c r="G174" s="4"/>
      <c r="H174" s="6"/>
    </row>
    <row r="175" spans="1:9" x14ac:dyDescent="0.25">
      <c r="C175" s="5" t="s">
        <v>325</v>
      </c>
      <c r="D175" t="s">
        <v>356</v>
      </c>
      <c r="E175" t="s">
        <v>357</v>
      </c>
      <c r="F175" s="1">
        <v>320</v>
      </c>
      <c r="G175" s="4"/>
      <c r="H175" s="6"/>
    </row>
    <row r="176" spans="1:9" x14ac:dyDescent="0.25">
      <c r="C176" s="5" t="s">
        <v>327</v>
      </c>
      <c r="D176" t="s">
        <v>358</v>
      </c>
      <c r="E176" t="s">
        <v>243</v>
      </c>
      <c r="F176" s="1">
        <f>8.4/200</f>
        <v>4.2000000000000003E-2</v>
      </c>
      <c r="G176" s="4"/>
      <c r="H176" s="6"/>
    </row>
    <row r="177" spans="1:10" x14ac:dyDescent="0.25">
      <c r="C177" s="5" t="s">
        <v>379</v>
      </c>
      <c r="D177" t="s">
        <v>383</v>
      </c>
      <c r="E177" t="s">
        <v>382</v>
      </c>
      <c r="F177" s="1">
        <v>39.35</v>
      </c>
      <c r="G177" s="4"/>
      <c r="H177" s="6"/>
    </row>
    <row r="178" spans="1:10" x14ac:dyDescent="0.25">
      <c r="A178" t="s">
        <v>361</v>
      </c>
      <c r="B178" t="s">
        <v>40</v>
      </c>
      <c r="C178" s="5" t="str">
        <f t="shared" ref="C178" si="9">MID(A178,5,6)</f>
        <v>SE0017</v>
      </c>
      <c r="D178" t="str">
        <f t="shared" ref="D178" si="10">RIGHT(A178,LEN(A178)-FIND("_",A178))</f>
        <v>Cable Relaxer</v>
      </c>
      <c r="E178" t="s">
        <v>288</v>
      </c>
      <c r="F178" s="1"/>
      <c r="G178" s="11">
        <v>1.1805555555555555E-2</v>
      </c>
      <c r="H178" s="6"/>
    </row>
    <row r="179" spans="1:10" x14ac:dyDescent="0.25">
      <c r="A179" t="s">
        <v>362</v>
      </c>
      <c r="B179" t="s">
        <v>40</v>
      </c>
      <c r="C179" s="5" t="str">
        <f t="shared" ref="C179" si="11">MID(A179,5,6)</f>
        <v>SE0018</v>
      </c>
      <c r="D179" t="str">
        <f t="shared" ref="D179" si="12">RIGHT(A179,LEN(A179)-FIND("_",A179))</f>
        <v>Plate Securing Pin</v>
      </c>
      <c r="E179" t="s">
        <v>288</v>
      </c>
      <c r="F179" s="1"/>
      <c r="G179" s="11">
        <v>1.0416666666666666E-2</v>
      </c>
      <c r="H179" s="6"/>
    </row>
    <row r="180" spans="1:10" x14ac:dyDescent="0.25">
      <c r="A180" t="s">
        <v>387</v>
      </c>
      <c r="B180" t="s">
        <v>40</v>
      </c>
      <c r="C180" s="5" t="str">
        <f t="shared" ref="C180:C182" si="13">MID(A180,5,6)</f>
        <v>SE0016</v>
      </c>
      <c r="D180" t="str">
        <f t="shared" ref="D180:D182" si="14">RIGHT(A180,LEN(A180)-FIND("_",A180))</f>
        <v>Elevated Platform Screws</v>
      </c>
      <c r="E180" t="s">
        <v>288</v>
      </c>
      <c r="F180" s="1"/>
      <c r="G180" s="4"/>
      <c r="H180" s="6"/>
      <c r="I180" s="27"/>
      <c r="J180" s="27"/>
    </row>
    <row r="181" spans="1:10" x14ac:dyDescent="0.25">
      <c r="A181" t="s">
        <v>388</v>
      </c>
      <c r="B181" t="s">
        <v>40</v>
      </c>
      <c r="C181" s="5" t="str">
        <f t="shared" si="13"/>
        <v>ST1010</v>
      </c>
      <c r="D181" t="s">
        <v>394</v>
      </c>
      <c r="E181" t="s">
        <v>4</v>
      </c>
      <c r="F181" s="1">
        <f>Catalogue_Components[[#This Row],[Length (Alu Profiles)]]/1000*$O$47+$O$48</f>
        <v>5.3059999999999992</v>
      </c>
      <c r="G181" s="4"/>
      <c r="H181" s="6">
        <v>50</v>
      </c>
      <c r="I181" s="27"/>
      <c r="J181" s="27"/>
    </row>
    <row r="182" spans="1:10" x14ac:dyDescent="0.25">
      <c r="A182" t="s">
        <v>389</v>
      </c>
      <c r="B182" t="s">
        <v>40</v>
      </c>
      <c r="C182" s="5" t="str">
        <f t="shared" si="13"/>
        <v>ST1011</v>
      </c>
      <c r="D182" t="s">
        <v>395</v>
      </c>
      <c r="E182" t="s">
        <v>4</v>
      </c>
      <c r="F182" s="1">
        <f>Catalogue_Components[[#This Row],[Length (Alu Profiles)]]/1000*$O$47+$O$48</f>
        <v>12.366</v>
      </c>
      <c r="G182" s="4"/>
      <c r="H182" s="6">
        <v>550</v>
      </c>
      <c r="I182" s="27"/>
      <c r="J182" s="27"/>
    </row>
    <row r="183" spans="1:10" x14ac:dyDescent="0.25">
      <c r="C183" s="5" t="s">
        <v>393</v>
      </c>
      <c r="D183" t="s">
        <v>396</v>
      </c>
      <c r="E183" t="s">
        <v>4</v>
      </c>
      <c r="F183" s="1">
        <v>4.34</v>
      </c>
      <c r="G183" s="4"/>
      <c r="H183" s="6"/>
      <c r="I183" s="27"/>
      <c r="J183" s="27"/>
    </row>
  </sheetData>
  <conditionalFormatting sqref="C176">
    <cfRule type="expression" dxfId="3" priority="1">
      <formula>$D176="x"</formula>
    </cfRule>
    <cfRule type="expression" dxfId="2" priority="2">
      <formula>$C176="x"</formula>
    </cfRule>
    <cfRule type="expression" dxfId="1" priority="3">
      <formula>$B176="x"</formula>
    </cfRule>
    <cfRule type="expression" dxfId="0" priority="4">
      <formula>$A176="x"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U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/ u T N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1 j M y M t M z s N G H C d r 4 Z u Y h F B g B H Q y S R R K 0 c S 7 N K S k t S r V L z d N 1 9 r D R h 3 F t 9 K F + s A M A A A D / / w M A U E s D B B Q A A g A I A A A A I Q A T 4 e o r J A Q A A I 4 n A A A T A A A A R m 9 y b X V s Y X M v U 2 V j d G l v b j E u b e x Z 3 0 / b M B B + r 8 T / Y J W X d j M d b L C H I Z C 6 r G x I w F B T s Y c q Q m n i 0 Y j E r h y H H 6 r 6 v 8 9 2 G t t J y t Q 2 y 4 R Q + p L q 7 P N d v r v v z n Z i 5 L G A Y G C n z 4 P j V i u e u h T 5 Y P D 1 1 m b + N W X g B I S I 7 b Q A / 9 k k o R 7 i k s G T h 8 K e l V C K M P t F 6 P 2 E k P t O d z 6 + c i N 0 0 l b K b W c x t g h m f J Y D 0 z V 2 2 9 b U x X f c x O h 5 h t p 8 s Z E 7 C V F v R F 0 c / y Y 0 s k i Y R F g M x p 3 U I J z P 2 9 c u d + U q i S a I t i F g f B S 4 + H k B w b z 9 D c U e D W Y s e E B A 2 M / G G X p i c s K l i 5 P f r s c S q p X V Y D 8 i C W Z c f I 7 Z 5 8 O e s C v l F o k Z m C E K x t a P M y d T w 9 I D P Y E R 5 o Y v T r G T y V 4 / j l E 0 C Z 9 L h s 9 j Y H s U P W Y D I b k L P D d c L L o 7 r Q C v B C s X H i t m 0 f b x W W r X G i D 1 q m t E i C E a u O H a 0 b m m A W Z g F E Q I f A A i E s W k G I n A F I U v x m M t z O 2 z C p R Q y g 0 l a q I E R 7 g C J b T 2 m 6 O E g X 6 O F e t E Z S 3 k L 2 6 q I K + 1 G + S 3 Q H 7 7 k q S U X w 3 u b 6 4 m D S s x Y 3 j T t O n N O T G s w o l h w 4 m 6 O X E 9 r B A f p d x s o + o L T 4 W S p b W b k r V + y R r Z V T D X 2 g 3 m G 2 G + f R l S y k 2 b q O 0 4 N 6 h 0 n B s 0 n N j i h m N Q 5 Y Z j 0 L T m e i l x f l G F E l q 7 O W d v S g y O 3 f b E U M p N s 6 i L G V b / s g o 1 D P W G G 5 t y Q 4 C 3 P T m 0 d s O O 2 m 6 h B v a o 0 j 2 U o f 9 K + Z F t C 1 4 f P S R 4 F S 6 k t H p D k L o I 8 p X 8 t Y S l m F o k m g Q Y d e b q 6 z b U n w S h v o q H + g Y S 6 s s u q A + c U O + z o d 5 Z Q K O Q Q j N r F l 0 V 7 O + U J D O R U + Q x 1 s G W 0 i y 6 o B j d V Q E t x r A c H o 2 n Q H f J D U 6 c N L j I 9 a b g I o h Z z 0 6 i z j g N u t N V I Q t D 4 V g W O + M F + r 4 v O k Y S M x L p F + D S N E 8 7 h V f k f m S G Y 2 V 3 v F t 0 1 3 k 3 N v x z t D m b U F a C S w g 7 B V f K p P h J f U R 7 / d h D 2 A / w X S G P z I V 1 G v V n M z 7 7 Y M 0 c W h Z U a H y 4 h M a n N G h 8 P I D G r R w 0 b o u g c U q G x v E A m h s i m K v / 9 W S T K s Y r C q 2 Z Q K o 8 / P c M 0 n 6 p P D J d 4 i m 0 u 8 J 3 J x f 1 n G 3 j c I B 9 X p K R f 8 v L y F b n A 0 P / 3 9 X 4 g 1 K J / F i S f C p J D k u S o 5 K k t l O 5 W L j c O r K 2 X O z o w o u X W k U 6 O J 1 + i a L V z S a K E G Y l B 0 a 6 / w D w 0 g 5 h u e y q c d 6 d n v c u H k q 7 E o b y 1 z e l f B Y p 8 J R L Z y l R O Z 3 L A F G d 5 X w I 9 i E 4 M J H Z h C e m Z d E C l p U w J U d x e l Y P 2 k M S h s m M I 8 R n d m j 3 5 F T a 4 z k v n / L / Q 8 j t U c 4 n B Y c D 1 W j g P 8 l R a d e Q T 0 L i 3 e s a j U L k M c H g z L K a m P 1 S D q f L g N M T u b C L f Z C z C 0 6 F O 1 2 p H G C 1 h i o 8 0 i r X y A f e 6 Y L 3 3 E W Z R E L U 6 m a 4 p i B x N w s A z / c 5 b e X f j L U K J z 4 5 H Z k f L c Z K 6 u i 6 o m T H f w A A A P / / A w B Q S w E C L Q A U A A Y A C A A A A C E A K t 2 q Q N I A A A A 3 A Q A A E w A A A A A A A A A A A A A A A A A A A A A A W 0 N v b n R l b n R f V H l w Z X N d L n h t b F B L A Q I t A B Q A A g A I A A A A I Q B / + 5 M 3 r Q A A A P c A A A A S A A A A A A A A A A A A A A A A A A s D A A B D b 2 5 m a W c v U G F j a 2 F n Z S 5 4 b W x Q S w E C L Q A U A A I A C A A A A C E A E + H q K y Q E A A C O J w A A E w A A A A A A A A A A A A A A A A D o A w A A R m 9 y b X V s Y X M v U 2 V j d G l v b j E u b V B L B Q Y A A A A A A w A D A M I A A A A 9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H E A A A A A A A C + c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V C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4 O j U 4 O j I 2 L j g 0 O T c y M T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Y T B m M j k z L W U 1 M W I t N G Z j N y 1 h N z Y 0 L T k y Z W E 2 Y m Q z Y j U 0 N y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R U J f Q 3 N 0 b V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4 O j U 4 O j M 5 L j M 0 N D A y M D B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4 Z T B m M W M z L T U x O D Y t N G R m Y i 0 4 O T V l L W U 1 O T c z Z T I 1 O T Z j Y i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U 0 Z f U 3 R k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g 6 N T g u N z k 3 N z E 4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I 3 M T M x M G M t N z R j Y y 0 0 Z D I 3 L W I y O G Y t M D Y 3 Z T B l M z B j M D A 2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T R l 9 D c 3 R t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k 6 M D Y u O T g x O D k x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M 0 Y z g 3 O G I t Y j E 4 N y 0 0 Y j g x L W E 1 Y j c t Z D A 3 O W Q 1 M T Z m M D k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M V l 9 D c 3 R t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k 6 M T M u N D I w N z g 4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Q x Y j E 2 N m Q t N j I 1 Y i 0 0 Y z R l L W E 1 M j c t O G Z h M D I z O D U 4 N j J l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M V l 9 T d G R Q c n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y 0 w N V Q w O D o 1 O T o y M C 4 0 M T A 1 N D g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M T A 5 N z l m M i 0 w M j A 3 L T Q 4 O D Y t O D d j Y S 1 h Z T M z Z m E 5 Z T Y 1 Y z k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W X 0 N z d G 1 Q c n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y 0 w N V Q w O D o 1 O T o y O C 4 1 M j Q 0 N j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Y j g z Y m U w M i 0 y O D B m L T R h Y W U t Y m F m Z C 0 w Z D R h Z T c w Y j E y M G Q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W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4 O j U 5 O j M 1 L j c 2 N T c w N D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F k Z j d l O T c w L T Q 0 N T A t N G M z Z i 0 5 Y W E 2 L T R j N T k w Y W Q 1 Z m Q 4 N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U F J f U 3 R k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k 6 N D Q u N j I 3 O T Y 1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B m N D I 3 M G E t Z W I 2 Z C 0 0 M z Q 1 L T g y Y j Q t Z m Y y Y T A 0 N j c 4 M j Q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Q U l 9 D c 3 R t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k 6 N T E u M D g z M z I y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U 2 M z R h M D E t N T g x M y 0 0 M W Y 1 L W I y Y 2 U t M z E 0 Z T N i N D k 3 N D E 0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U U 1 9 D c 3 R t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g 6 N T k 6 N T c u O T M 2 N j U w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d h O D c x O W I t Y T Q 0 M S 0 0 N m Z m L W E y M 2 Y t Z T A 3 Z j g 3 M j E 0 N T A 1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U U 1 9 T d G R Q c n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y 0 w N V Q w O T o w M D o w N C 4 4 M T g x N D E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Z T A 1 Y m J m N C 1 i Z j J i L T R j Z j Q t Y T g 3 N S 1 k Y j U 3 Y 2 Y 4 M m I 5 Y T Y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X 0 N z d G 1 Q c n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y 0 w N V Q w O T o w M D o x M i 4 1 M T g y O D A 3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D B k Y j U 3 N i 0 3 M j F j L T Q x M D A t O D d j Y i 1 k O T I 1 M D N i N 2 U 3 Y m M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5 O j A w O j E 4 L j g 5 O D k x N j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0 M T A 4 N T Q 4 L W I 2 M m Y t N D Q y Y i 0 5 N D d l L T A z O D c w N G U 3 Y z M 0 M i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S U x f Q 3 N 0 b V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5 O j A w O j I 2 L j k w M D A 3 M j J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T N l Y 2 E 5 L T N h M T U t N D k z O C 1 i M W I x L W R m M T F h Z j B j Y z g z N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S U x f U 3 R k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k 6 M D A 6 M z M u N z E 2 N T Q y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Y 4 Z G Q y Z m M t M z A y M y 0 0 M D h m L W E 4 O D Y t M D B h N z U 3 M D F h O G J j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D Q U 1 f Q 3 N 0 b V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5 O j A w O j Q w L j k 3 M j c 0 N T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y Z m U 1 Z W F j L T F j M 2 U t N G E y Y i 1 i M m Q x L T N j Z D A 1 Y z d l M j Q 2 Z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Q 0 F N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5 O j A w O j Q 4 L j Q x M j k 2 M D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2 Y z Q w Y j Z i L T M 4 N z A t N D A 2 Z C 1 h Z G Z h L T U y N T F h M m F l M z J h M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U k V T V F 9 D c 3 R t U H J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M t M D V U M D k 6 M D A 6 N T Y u M T E 4 M D E 3 N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E 5 Z W V h Z D E t M D Y 5 O C 0 0 M T U 5 L T l i N 2 U t M T g y M z Q x M G M w Y 2 I w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S R V N U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z L T A 1 V D A 5 O j A x O j A y L j g z N j A z N j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1 Y j l l N W Q 0 L W Z m O G U t N G Y y N C 1 h Z j d m L T M 1 Z D F i N D E x Z m Q 0 O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Q m 9 N X 1 N 0 Z F B y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D V U M D k 6 M T A 6 M D k u O T Y 4 N z k 2 M V o i L z 4 8 R W 5 0 c n k g V H l w Z T 0 i R m l s b E N v b H V t b l R 5 c G V z I i B W Y W x 1 Z T 0 i c 0 F B W U d C U U V G Q U E 9 P S I v P j x F b n R y e S B U e X B l P S J G a W x s Q 2 9 s d W 1 u T m F t Z X M i I F Z h b H V l P S J z W y Z x d W 9 0 O 1 B h c n Q g T n V t Y m V y J n F 1 b 3 Q 7 L C Z x d W 9 0 O 0 R l c 2 N y a X B 0 a X Z l I E 5 h b W U m c X V v d D s s J n F 1 b 3 Q 7 T W F u d W Z h Y 3 R 1 c m V y J n F 1 b 3 Q 7 L C Z x d W 9 0 O 0 N v c 3 Q g c G V y I F t D S E Z d J n F 1 b 3 Q 7 L C Z x d W 9 0 O 0 l z I F N j c m V 3 J n F 1 b 3 Q 7 L C Z x d W 9 0 O 1 R v d G F s I E N v d W 5 0 J n F 1 b 3 Q 7 L C Z x d W 9 0 O 1 R v d G F s I E N v c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h M m U w M D k 3 L W M 1 Y T A t N G U 5 O S 0 4 Z j E x L T M 2 N T J l N 2 U 0 Z j l l M C I v P j x F b n R y e S B U e X B l P S J S Z W N v d m V y e V R h c m d l d E N v b H V t b i I g V m F s d W U 9 I m w z I i 8 + P E V u d H J 5 I F R 5 c G U 9 I l J l Y 2 9 2 Z X J 5 V G F y Z 2 V 0 U m 9 3 I i B W Y W x 1 Z T 0 i b D Y i L z 4 8 R W 5 0 c n k g V H l w Z T 0 i U m V j b 3 Z l c n l U Y X J n Z X R T a G V l d C I g V m F s d W U 9 I n N D b 2 1 w b G V 0 Z S B C b 0 0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9 N X 1 N 0 Z F B y d C 9 B d X R v U m V t b 3 Z l Z E N v b H V t b n M x L n t Q Y X J 0 I E 5 1 b W J l c i w w f S Z x d W 9 0 O y w m c X V v d D t T Z W N 0 a W 9 u M S 9 C b 0 1 f U 3 R k U H J 0 L 0 F 1 d G 9 S Z W 1 v d m V k Q 2 9 s d W 1 u c z E u e 0 R l c 2 N y a X B 0 a X Z l I E 5 h b W U s M X 0 m c X V v d D s s J n F 1 b 3 Q 7 U 2 V j d G l v b j E v Q m 9 N X 1 N 0 Z F B y d C 9 B d X R v U m V t b 3 Z l Z E N v b H V t b n M x L n t N Y W 5 1 Z m F j d H V y Z X I s M n 0 m c X V v d D s s J n F 1 b 3 Q 7 U 2 V j d G l v b j E v Q m 9 N X 1 N 0 Z F B y d C 9 B d X R v U m V t b 3 Z l Z E N v b H V t b n M x L n t D b 3 N 0 I H B l c i B b Q 0 h G X S w z f S Z x d W 9 0 O y w m c X V v d D t T Z W N 0 a W 9 u M S 9 C b 0 1 f U 3 R k U H J 0 L 0 F 1 d G 9 S Z W 1 v d m V k Q 2 9 s d W 1 u c z E u e 0 l z I F N j c m V 3 L D R 9 J n F 1 b 3 Q 7 L C Z x d W 9 0 O 1 N l Y 3 R p b 2 4 x L 0 J v T V 9 T d G R Q c n Q v Q X V 0 b 1 J l b W 9 2 Z W R D b 2 x 1 b W 5 z M S 5 7 V G 9 0 Y W w g Q 2 9 1 b n Q s N X 0 m c X V v d D s s J n F 1 b 3 Q 7 U 2 V j d G l v b j E v Q m 9 N X 1 N 0 Z F B y d C 9 B d X R v U m V t b 3 Z l Z E N v b H V t b n M x L n t U b 3 R h b C B D b 3 N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J v T V 9 T d G R Q c n Q v Q X V 0 b 1 J l b W 9 2 Z W R D b 2 x 1 b W 5 z M S 5 7 U G F y d C B O d W 1 i Z X I s M H 0 m c X V v d D s s J n F 1 b 3 Q 7 U 2 V j d G l v b j E v Q m 9 N X 1 N 0 Z F B y d C 9 B d X R v U m V t b 3 Z l Z E N v b H V t b n M x L n t E Z X N j c m l w d G l 2 Z S B O Y W 1 l L D F 9 J n F 1 b 3 Q 7 L C Z x d W 9 0 O 1 N l Y 3 R p b 2 4 x L 0 J v T V 9 T d G R Q c n Q v Q X V 0 b 1 J l b W 9 2 Z W R D b 2 x 1 b W 5 z M S 5 7 T W F u d W Z h Y 3 R 1 c m V y L D J 9 J n F 1 b 3 Q 7 L C Z x d W 9 0 O 1 N l Y 3 R p b 2 4 x L 0 J v T V 9 T d G R Q c n Q v Q X V 0 b 1 J l b W 9 2 Z W R D b 2 x 1 b W 5 z M S 5 7 Q 2 9 z d C B w Z X I g W 0 N I R l 0 s M 3 0 m c X V v d D s s J n F 1 b 3 Q 7 U 2 V j d G l v b j E v Q m 9 N X 1 N 0 Z F B y d C 9 B d X R v U m V t b 3 Z l Z E N v b H V t b n M x L n t J c y B T Y 3 J l d y w 0 f S Z x d W 9 0 O y w m c X V v d D t T Z W N 0 a W 9 u M S 9 C b 0 1 f U 3 R k U H J 0 L 0 F 1 d G 9 S Z W 1 v d m V k Q 2 9 s d W 1 u c z E u e 1 R v d G F s I E N v d W 5 0 L D V 9 J n F 1 b 3 Q 7 L C Z x d W 9 0 O 1 N l Y 3 R p b 2 4 x L 0 J v T V 9 T d G R Q c n Q v Q X V 0 b 1 J l b W 9 2 Z W R D b 2 x 1 b W 5 z M S 5 7 V G 9 0 Y W w g Q 2 9 z d C w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I w I i 8 + P E V u d H J 5 I F R 5 c G U 9 I k Z p b G x M Y X N 0 V X B k Y X R l Z C I g V m F s d W U 9 I m Q y M D I 2 L T A z L T A 1 V D A 5 O j I x O j E y L j g 1 M j k 3 O D d a I i 8 + P E V u d H J 5 I F R 5 c G U 9 I k Z p b G x D b 2 x 1 b W 5 U e X B l c y I g V m F s d W U 9 I n N C Z 1 l B Q U F V Q S I v P j x F b n R y e S B U e X B l P S J G a W x s Q 2 9 s d W 1 u T m F t Z X M i I F Z h b H V l P S J z W y Z x d W 9 0 O 1 B h c n Q g T n V t Y m V y J n F 1 b 3 Q 7 L C Z x d W 9 0 O 0 R l c 2 N y a X B 0 a X Z l I E 5 h b W U m c X V v d D s s J n F 1 b 3 Q 7 T W F 0 Z X J p Y W w m c X V v d D s s J n F 1 b 3 Q 7 U H J p b n Q g V G l t Z S A v I E N v c 3 Q m c X V v d D s s J n F 1 b 3 Q 7 V G 9 0 Y W w g Q W 1 v d W 5 0 J n F 1 b 3 Q 7 L C Z x d W 9 0 O 1 R v d G F s I F B y a W 5 0 I F R p b W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x N z c y M 2 E 4 L T N m Z T A t N D Z j M S 0 5 M z E 4 L T J k O G R m O W F h N j Y 4 O C I v P j x F b n R y e S B U e X B l P S J S Z W N v d m V y e V R h c m d l d E N v b H V t b i I g V m F s d W U 9 I m w x M y I v P j x F b n R y e S B U e X B l P S J S Z W N v d m V y e V R h c m d l d F J v d y I g V m F s d W U 9 I m w 2 I i 8 + P E V u d H J 5 I F R 5 c G U 9 I l J l Y 2 9 2 Z X J 5 V G F y Z 2 V 0 U 2 h l Z X Q i I F Z h b H V l P S J z Q 2 9 t c G x l d G U g Q m 9 N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v Q X V 0 b 1 J l b W 9 2 Z W R D b 2 x 1 b W 5 z M S 5 7 U G F y d C B O d W 1 i Z X I s M H 0 m c X V v d D s s J n F 1 b 3 Q 7 U 2 V j d G l v b j E v Q X B w Z W 5 k M S 9 B d X R v U m V t b 3 Z l Z E N v b H V t b n M x L n t E Z X N j c m l w d G l 2 Z S B O Y W 1 l L D F 9 J n F 1 b 3 Q 7 L C Z x d W 9 0 O 1 N l Y 3 R p b 2 4 x L 0 F w c G V u Z D E v Q X V 0 b 1 J l b W 9 2 Z W R D b 2 x 1 b W 5 z M S 5 7 T W F 0 Z X J p Y W w s M n 0 m c X V v d D s s J n F 1 b 3 Q 7 U 2 V j d G l v b j E v Q X B w Z W 5 k M S 9 B d X R v U m V t b 3 Z l Z E N v b H V t b n M x L n t Q c m l u d C B U a W 1 l I C 8 g Q 2 9 z d C w z f S Z x d W 9 0 O y w m c X V v d D t T Z W N 0 a W 9 u M S 9 B c H B l b m Q x L 0 F 1 d G 9 S Z W 1 v d m V k Q 2 9 s d W 1 u c z E u e 1 R v d G F s I E F t b 3 V u d C w 0 f S Z x d W 9 0 O y w m c X V v d D t T Z W N 0 a W 9 u M S 9 B c H B l b m Q x L 0 F 1 d G 9 S Z W 1 v d m V k Q 2 9 s d W 1 u c z E u e 1 R v d G F s I F B y a W 5 0 I F R p b W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S 9 B d X R v U m V t b 3 Z l Z E N v b H V t b n M x L n t Q Y X J 0 I E 5 1 b W J l c i w w f S Z x d W 9 0 O y w m c X V v d D t T Z W N 0 a W 9 u M S 9 B c H B l b m Q x L 0 F 1 d G 9 S Z W 1 v d m V k Q 2 9 s d W 1 u c z E u e 0 R l c 2 N y a X B 0 a X Z l I E 5 h b W U s M X 0 m c X V v d D s s J n F 1 b 3 Q 7 U 2 V j d G l v b j E v Q X B w Z W 5 k M S 9 B d X R v U m V t b 3 Z l Z E N v b H V t b n M x L n t N Y X R l c m l h b C w y f S Z x d W 9 0 O y w m c X V v d D t T Z W N 0 a W 9 u M S 9 B c H B l b m Q x L 0 F 1 d G 9 S Z W 1 v d m V k Q 2 9 s d W 1 u c z E u e 1 B y a W 5 0 I F R p b W U g L y B D b 3 N 0 L D N 9 J n F 1 b 3 Q 7 L C Z x d W 9 0 O 1 N l Y 3 R p b 2 4 x L 0 F w c G V u Z D E v Q X V 0 b 1 J l b W 9 2 Z W R D b 2 x 1 b W 5 z M S 5 7 V G 9 0 Y W w g Q W 1 v d W 5 0 L D R 9 J n F 1 b 3 Q 7 L C Z x d W 9 0 O 1 N l Y 3 R p b 2 4 x L 0 F w c G V u Z D E v Q X V 0 b 1 J l b W 9 2 Z W R D b 2 x 1 b W 5 z M S 5 7 V G 9 0 Y W w g U H J p b n Q g V G l t Z S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W 5 k Z W 5 0 Z W R f Q m 9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Q t M j d U M T I 6 N D A 6 M T k u M j g w O T U 3 N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g w M j k 2 O D c t N T I 2 N S 0 0 O W Z h L T h k Z W Q t N m Q 4 O T c w M W U 3 N T B j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R U J f U 3 R k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J f U 3 R k U H J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Q l 9 D c 3 R t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U J f Q 3 N 0 b V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0 Z f U 3 R k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0 Z f U 3 R k U H J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R l 9 D c 3 R t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0 Z f Q 3 N 0 b V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F Z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W X 0 N z d G 1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W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x W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l Z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W X 0 N z d G 1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W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W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J f U 3 R k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J f U 3 R k U H J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U l 9 D c 3 R t U H J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J f Q 3 N 0 b V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N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T X 0 N z d G 1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T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T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0 V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X 0 N z d G 1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x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X 0 N z d G 1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M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F N X 0 N z d G 1 Q c n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Q U 1 f Q 3 N 0 b V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F N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B T V 9 T d G R Q c n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F U 1 R f Q 3 N 0 b V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F U 1 R f Q 3 N 0 b V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k V T V F 9 T d G R Q c n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R V N U X 1 N 0 Z F B y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m 9 N X 1 N 0 Z F B y d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T V 9 T d G R Q c n Q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T V 9 T d G R Q c n Q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T V 9 T d G R Q c n Q v U 2 9 y d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w c G V u Z D E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w c G V u Z D E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G V u d G V k X 0 J v T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G V u d G V k X 0 J v T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Z W 5 0 Z W R f Q m 9 N L 0 F k Z G V k J T I w Q 3 V z d G 9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l b n R l Z F 9 C b 0 0 v Q W R k Z W Q l M j B J b m R l e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Z W 5 0 Z W R f Q m 9 N L 0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Z W 5 0 Z W R f Q m 9 N L 1 J v b G x 1 c E N I R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d m P G V o I 0 O X H 6 A 9 G E j 0 t Q A A A A A C A A A A A A A Q Z g A A A A E A A C A A A A C r 1 e V 4 p q W 3 9 U K O + J P i M u P I w t r c n f e S 9 T 7 s 9 y a m T c u q h Q A A A A A O g A A A A A I A A C A A A A A 5 1 U k X X t p z R t Z E X T B V 1 u K 6 G V e 6 f Y Y f T D V S S I c 3 0 j L U o l A A A A D h j g a T w c m S x B m M C 1 e m / e v y D b I I X V v l g O / v S c S F v S M I 2 0 l 8 5 G Z 6 B 1 V h h k s l l J 7 A j P 3 j 0 J v M k 1 t F Z 6 f k a F M f A W c y t S h O K U q p z o 1 R t M x K y M 2 Q 9 0 A A A A C C U v n 7 D B P r X M y 1 f k j R y w e p O Y + X l A X 6 9 l 3 r E Q I 3 x 6 o z r a H O 0 R B I t O C n R n N 5 v i r G c / e m v g l g / Y 2 h 8 b 3 j I a h V O H s 6 < / D a t a M a s h u p > 
</file>

<file path=customXml/itemProps1.xml><?xml version="1.0" encoding="utf-8"?>
<ds:datastoreItem xmlns:ds="http://schemas.openxmlformats.org/officeDocument/2006/customXml" ds:itemID="{05EC19E9-65E6-4223-A7A4-A0E8853E24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 indented</vt:lpstr>
      <vt:lpstr>List of Standard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 Fabian</dc:creator>
  <cp:lastModifiedBy>Weber  Fabian</cp:lastModifiedBy>
  <dcterms:created xsi:type="dcterms:W3CDTF">2025-09-12T14:27:08Z</dcterms:created>
  <dcterms:modified xsi:type="dcterms:W3CDTF">2026-05-04T08:13:32Z</dcterms:modified>
</cp:coreProperties>
</file>